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-15" yWindow="15" windowWidth="18645" windowHeight="11520"/>
  </bookViews>
  <sheets>
    <sheet name="Inc_Disinc_Wksht" sheetId="1" r:id="rId1"/>
    <sheet name="Updates" sheetId="2" r:id="rId2"/>
    <sheet name="Sheet3" sheetId="3" r:id="rId3"/>
  </sheets>
  <definedNames>
    <definedName name="_xlnm.Print_Area" localSheetId="0">Inc_Disinc_Wksht!$A$1:$V$75</definedName>
  </definedNames>
  <calcPr calcId="145621"/>
</workbook>
</file>

<file path=xl/calcChain.xml><?xml version="1.0" encoding="utf-8"?>
<calcChain xmlns="http://schemas.openxmlformats.org/spreadsheetml/2006/main">
  <c r="AC50" i="1" l="1"/>
  <c r="DT19" i="1" l="1"/>
  <c r="DT55" i="1"/>
  <c r="DT51" i="1"/>
  <c r="DT47" i="1"/>
  <c r="DT43" i="1"/>
  <c r="DT39" i="1"/>
  <c r="DT35" i="1"/>
  <c r="DT31" i="1"/>
  <c r="DT27" i="1"/>
  <c r="DT23" i="1"/>
  <c r="S9" i="1" l="1"/>
  <c r="R9" i="1"/>
  <c r="Q9" i="1"/>
  <c r="P9" i="1"/>
  <c r="O9" i="1"/>
  <c r="N9" i="1"/>
  <c r="I9" i="1"/>
  <c r="H9" i="1"/>
  <c r="CZ26" i="1" l="1"/>
  <c r="CZ22" i="1"/>
  <c r="CZ24" i="1" l="1"/>
  <c r="CZ33" i="1" s="1"/>
  <c r="CZ37" i="1"/>
  <c r="CZ40" i="1" s="1"/>
  <c r="M9" i="1" l="1"/>
  <c r="J9" i="1"/>
  <c r="K9" i="1"/>
  <c r="L9" i="1"/>
  <c r="T16" i="1"/>
  <c r="DE12" i="1"/>
  <c r="DZ4" i="1" s="1"/>
  <c r="DE10" i="1"/>
  <c r="DB19" i="1"/>
  <c r="K3" i="1"/>
  <c r="Q6" i="1"/>
  <c r="AJ77" i="1"/>
  <c r="AG74" i="1"/>
  <c r="N3" i="1"/>
  <c r="N2" i="1"/>
  <c r="N6" i="1"/>
  <c r="N5" i="1"/>
  <c r="R10" i="1"/>
  <c r="BW71" i="1" s="1"/>
  <c r="Q10" i="1"/>
  <c r="BV71" i="1" s="1"/>
  <c r="P10" i="1"/>
  <c r="BU71" i="1" s="1"/>
  <c r="O10" i="1"/>
  <c r="BT71" i="1" s="1"/>
  <c r="N10" i="1"/>
  <c r="BS71" i="1" s="1"/>
  <c r="S10" i="1"/>
  <c r="P4" i="1"/>
  <c r="I10" i="1" s="1"/>
  <c r="BN71" i="1" s="1"/>
  <c r="CS22" i="1"/>
  <c r="K61" i="1"/>
  <c r="CM45" i="1"/>
  <c r="CN45" i="1" s="1"/>
  <c r="N45" i="1" s="1"/>
  <c r="CM46" i="1"/>
  <c r="CN46" i="1" s="1"/>
  <c r="N46" i="1" s="1"/>
  <c r="CM49" i="1"/>
  <c r="CN49" i="1" s="1"/>
  <c r="N49" i="1" s="1"/>
  <c r="CM50" i="1"/>
  <c r="CN50" i="1" s="1"/>
  <c r="N50" i="1" s="1"/>
  <c r="CM53" i="1"/>
  <c r="CN53" i="1" s="1"/>
  <c r="N53" i="1" s="1"/>
  <c r="CM54" i="1"/>
  <c r="CN54" i="1" s="1"/>
  <c r="N54" i="1" s="1"/>
  <c r="CM57" i="1"/>
  <c r="CN57" i="1" s="1"/>
  <c r="N57" i="1" s="1"/>
  <c r="CM58" i="1"/>
  <c r="CN58" i="1" s="1"/>
  <c r="N58" i="1" s="1"/>
  <c r="CM43" i="1"/>
  <c r="CN43" i="1" s="1"/>
  <c r="N43" i="1" s="1"/>
  <c r="CM44" i="1"/>
  <c r="CN44" i="1" s="1"/>
  <c r="N44" i="1" s="1"/>
  <c r="CM47" i="1"/>
  <c r="CN47" i="1" s="1"/>
  <c r="N47" i="1" s="1"/>
  <c r="CM48" i="1"/>
  <c r="CN48" i="1" s="1"/>
  <c r="N48" i="1" s="1"/>
  <c r="CM51" i="1"/>
  <c r="CN51" i="1" s="1"/>
  <c r="N51" i="1" s="1"/>
  <c r="CM52" i="1"/>
  <c r="CN52" i="1" s="1"/>
  <c r="N52" i="1" s="1"/>
  <c r="CM55" i="1"/>
  <c r="CN55" i="1" s="1"/>
  <c r="N55" i="1" s="1"/>
  <c r="CM56" i="1"/>
  <c r="CN56" i="1" s="1"/>
  <c r="N56" i="1" s="1"/>
  <c r="CK58" i="1"/>
  <c r="CL58" i="1" s="1"/>
  <c r="M58" i="1" s="1"/>
  <c r="CK57" i="1"/>
  <c r="CL57" i="1" s="1"/>
  <c r="M57" i="1" s="1"/>
  <c r="CK56" i="1"/>
  <c r="CL56" i="1" s="1"/>
  <c r="M56" i="1" s="1"/>
  <c r="CK55" i="1"/>
  <c r="CL55" i="1" s="1"/>
  <c r="M55" i="1" s="1"/>
  <c r="CK54" i="1"/>
  <c r="CL54" i="1" s="1"/>
  <c r="M54" i="1" s="1"/>
  <c r="CK53" i="1"/>
  <c r="CL53" i="1" s="1"/>
  <c r="M53" i="1" s="1"/>
  <c r="CK52" i="1"/>
  <c r="CL52" i="1" s="1"/>
  <c r="M52" i="1" s="1"/>
  <c r="CK51" i="1"/>
  <c r="CL51" i="1" s="1"/>
  <c r="M51" i="1" s="1"/>
  <c r="CK50" i="1"/>
  <c r="CL50" i="1" s="1"/>
  <c r="M50" i="1" s="1"/>
  <c r="CK49" i="1"/>
  <c r="CL49" i="1" s="1"/>
  <c r="M49" i="1" s="1"/>
  <c r="CK48" i="1"/>
  <c r="CL48" i="1" s="1"/>
  <c r="M48" i="1" s="1"/>
  <c r="CK47" i="1"/>
  <c r="CL47" i="1" s="1"/>
  <c r="M47" i="1" s="1"/>
  <c r="CK46" i="1"/>
  <c r="CL46" i="1" s="1"/>
  <c r="M46" i="1" s="1"/>
  <c r="CK45" i="1"/>
  <c r="CL45" i="1" s="1"/>
  <c r="M45" i="1" s="1"/>
  <c r="CK44" i="1"/>
  <c r="CL44" i="1" s="1"/>
  <c r="M44" i="1" s="1"/>
  <c r="CK43" i="1"/>
  <c r="CL43" i="1" s="1"/>
  <c r="M43" i="1" s="1"/>
  <c r="CK42" i="1"/>
  <c r="CL42" i="1" s="1"/>
  <c r="M42" i="1" s="1"/>
  <c r="CK41" i="1"/>
  <c r="CL41" i="1" s="1"/>
  <c r="M41" i="1" s="1"/>
  <c r="CK40" i="1"/>
  <c r="CL40" i="1" s="1"/>
  <c r="M40" i="1" s="1"/>
  <c r="CK39" i="1"/>
  <c r="CL39" i="1" s="1"/>
  <c r="M39" i="1" s="1"/>
  <c r="CK38" i="1"/>
  <c r="CL38" i="1" s="1"/>
  <c r="M38" i="1" s="1"/>
  <c r="CK37" i="1"/>
  <c r="CL37" i="1" s="1"/>
  <c r="M37" i="1" s="1"/>
  <c r="CK36" i="1"/>
  <c r="CL36" i="1" s="1"/>
  <c r="M36" i="1" s="1"/>
  <c r="CK35" i="1"/>
  <c r="CL35" i="1" s="1"/>
  <c r="M35" i="1" s="1"/>
  <c r="CK34" i="1"/>
  <c r="CL34" i="1" s="1"/>
  <c r="M34" i="1" s="1"/>
  <c r="CK33" i="1"/>
  <c r="CL33" i="1" s="1"/>
  <c r="M33" i="1" s="1"/>
  <c r="CK32" i="1"/>
  <c r="CL32" i="1" s="1"/>
  <c r="M32" i="1" s="1"/>
  <c r="CK31" i="1"/>
  <c r="CL31" i="1" s="1"/>
  <c r="M31" i="1" s="1"/>
  <c r="CK30" i="1"/>
  <c r="CL30" i="1" s="1"/>
  <c r="M30" i="1" s="1"/>
  <c r="CK29" i="1"/>
  <c r="CL29" i="1" s="1"/>
  <c r="M29" i="1" s="1"/>
  <c r="CK28" i="1"/>
  <c r="CL28" i="1" s="1"/>
  <c r="M28" i="1" s="1"/>
  <c r="CK27" i="1"/>
  <c r="CL27" i="1" s="1"/>
  <c r="M27" i="1" s="1"/>
  <c r="CK26" i="1"/>
  <c r="CL26" i="1" s="1"/>
  <c r="M26" i="1" s="1"/>
  <c r="CK25" i="1"/>
  <c r="CL25" i="1" s="1"/>
  <c r="M25" i="1" s="1"/>
  <c r="CK24" i="1"/>
  <c r="CL24" i="1" s="1"/>
  <c r="M24" i="1" s="1"/>
  <c r="CK23" i="1"/>
  <c r="CL23" i="1" s="1"/>
  <c r="M23" i="1" s="1"/>
  <c r="CK22" i="1"/>
  <c r="CL22" i="1" s="1"/>
  <c r="M22" i="1" s="1"/>
  <c r="CK21" i="1"/>
  <c r="CL21" i="1" s="1"/>
  <c r="M21" i="1" s="1"/>
  <c r="CK20" i="1"/>
  <c r="CL20" i="1" s="1"/>
  <c r="M20" i="1" s="1"/>
  <c r="CK19" i="1"/>
  <c r="CL19" i="1" s="1"/>
  <c r="M19" i="1" s="1"/>
  <c r="CJ13" i="1"/>
  <c r="CJ12" i="1"/>
  <c r="CJ11" i="1"/>
  <c r="CJ10" i="1"/>
  <c r="AD86" i="1"/>
  <c r="AH52" i="1" s="1"/>
  <c r="Z98" i="1"/>
  <c r="Z114" i="1"/>
  <c r="AA114" i="1" s="1"/>
  <c r="Z115" i="1"/>
  <c r="AA115" i="1" s="1"/>
  <c r="B59" i="1"/>
  <c r="S60" i="1"/>
  <c r="R60" i="1"/>
  <c r="P61" i="1"/>
  <c r="O61" i="1"/>
  <c r="O60" i="1"/>
  <c r="N60" i="1"/>
  <c r="S16" i="1"/>
  <c r="DG16" i="1" s="1"/>
  <c r="AG114" i="1"/>
  <c r="AH114" i="1" s="1"/>
  <c r="BX72" i="1"/>
  <c r="BW72" i="1"/>
  <c r="BV72" i="1"/>
  <c r="BU72" i="1"/>
  <c r="BT72" i="1"/>
  <c r="BS72" i="1"/>
  <c r="BR72" i="1"/>
  <c r="BQ72" i="1"/>
  <c r="BP72" i="1"/>
  <c r="BO72" i="1"/>
  <c r="BN72" i="1"/>
  <c r="BX70" i="1"/>
  <c r="BW70" i="1"/>
  <c r="BV70" i="1"/>
  <c r="BU70" i="1"/>
  <c r="BT70" i="1"/>
  <c r="BS70" i="1"/>
  <c r="BR70" i="1"/>
  <c r="BQ70" i="1"/>
  <c r="BP70" i="1"/>
  <c r="BO70" i="1"/>
  <c r="BN70" i="1"/>
  <c r="BM72" i="1"/>
  <c r="BM70" i="1"/>
  <c r="AW69" i="1"/>
  <c r="AW65" i="1"/>
  <c r="S62" i="1"/>
  <c r="S61" i="1"/>
  <c r="R62" i="1"/>
  <c r="R61" i="1"/>
  <c r="Q62" i="1"/>
  <c r="Q61" i="1"/>
  <c r="Q60" i="1"/>
  <c r="P60" i="1"/>
  <c r="N61" i="1"/>
  <c r="M61" i="1"/>
  <c r="M60" i="1"/>
  <c r="L61" i="1"/>
  <c r="J61" i="1"/>
  <c r="I61" i="1"/>
  <c r="I60" i="1"/>
  <c r="M62" i="1"/>
  <c r="L62" i="1"/>
  <c r="K62" i="1"/>
  <c r="J62" i="1"/>
  <c r="I62" i="1"/>
  <c r="G62" i="1"/>
  <c r="G61" i="1"/>
  <c r="F62" i="1"/>
  <c r="F61" i="1"/>
  <c r="F60" i="1"/>
  <c r="E62" i="1"/>
  <c r="E61" i="1"/>
  <c r="D61" i="1"/>
  <c r="CJ61" i="1" s="1"/>
  <c r="B62" i="1"/>
  <c r="B61" i="1"/>
  <c r="B60" i="1"/>
  <c r="S18" i="1"/>
  <c r="DG18" i="1" s="1"/>
  <c r="S17" i="1"/>
  <c r="DG17" i="1" s="1"/>
  <c r="AH63" i="1"/>
  <c r="AI63" i="1" s="1"/>
  <c r="AH62" i="1"/>
  <c r="AI62" i="1" s="1"/>
  <c r="BU55" i="1"/>
  <c r="BU54" i="1"/>
  <c r="BU53" i="1"/>
  <c r="BU52" i="1"/>
  <c r="BU51" i="1"/>
  <c r="BU50" i="1"/>
  <c r="BM40" i="1"/>
  <c r="BM39" i="1"/>
  <c r="BM38" i="1"/>
  <c r="BM37" i="1"/>
  <c r="BL16" i="1"/>
  <c r="AK41" i="1"/>
  <c r="AD76" i="1"/>
  <c r="AB127" i="1" s="1"/>
  <c r="BC116" i="1"/>
  <c r="AZ116" i="1"/>
  <c r="AY116" i="1"/>
  <c r="AX116" i="1"/>
  <c r="AW116" i="1"/>
  <c r="AV116" i="1"/>
  <c r="AU116" i="1"/>
  <c r="AT116" i="1"/>
  <c r="AS116" i="1"/>
  <c r="AR116" i="1"/>
  <c r="AQ116" i="1"/>
  <c r="AP116" i="1"/>
  <c r="BC115" i="1"/>
  <c r="AZ115" i="1"/>
  <c r="AY115" i="1"/>
  <c r="AX115" i="1"/>
  <c r="AW115" i="1"/>
  <c r="AV115" i="1"/>
  <c r="AU115" i="1"/>
  <c r="AT115" i="1"/>
  <c r="AS115" i="1"/>
  <c r="AR115" i="1"/>
  <c r="AQ115" i="1"/>
  <c r="AP115" i="1"/>
  <c r="AP113" i="1"/>
  <c r="AQ113" i="1"/>
  <c r="AR113" i="1"/>
  <c r="AS113" i="1"/>
  <c r="AT113" i="1"/>
  <c r="AU113" i="1"/>
  <c r="AV113" i="1"/>
  <c r="AW113" i="1"/>
  <c r="AX113" i="1"/>
  <c r="AY113" i="1"/>
  <c r="AZ113" i="1"/>
  <c r="BC113" i="1"/>
  <c r="AP114" i="1"/>
  <c r="AQ114" i="1"/>
  <c r="AR114" i="1"/>
  <c r="AS114" i="1"/>
  <c r="AT114" i="1"/>
  <c r="AU114" i="1"/>
  <c r="AV114" i="1"/>
  <c r="AW114" i="1"/>
  <c r="AX114" i="1"/>
  <c r="AY114" i="1"/>
  <c r="AZ114" i="1"/>
  <c r="BC114" i="1"/>
  <c r="AW25" i="1"/>
  <c r="AX25" i="1"/>
  <c r="AX26" i="1"/>
  <c r="AX27" i="1"/>
  <c r="AX28" i="1"/>
  <c r="L21" i="1"/>
  <c r="CM21" i="1" s="1"/>
  <c r="CN21" i="1" s="1"/>
  <c r="N21" i="1" s="1"/>
  <c r="L22" i="1"/>
  <c r="L20" i="1"/>
  <c r="CM20" i="1" s="1"/>
  <c r="CN20" i="1" s="1"/>
  <c r="N20" i="1" s="1"/>
  <c r="L19" i="1"/>
  <c r="CM19" i="1" s="1"/>
  <c r="CN19" i="1" s="1"/>
  <c r="N19" i="1" s="1"/>
  <c r="D21" i="1"/>
  <c r="AY27" i="1" s="1"/>
  <c r="D20" i="1"/>
  <c r="D19" i="1"/>
  <c r="AC65" i="1"/>
  <c r="AO12" i="1" s="1"/>
  <c r="AD73" i="1"/>
  <c r="AD74" i="1" s="1"/>
  <c r="AC46" i="1"/>
  <c r="AO13" i="1" s="1"/>
  <c r="AC40" i="1"/>
  <c r="AE40" i="1" s="1"/>
  <c r="AC33" i="1"/>
  <c r="AE33" i="1" s="1"/>
  <c r="AA98" i="1" s="1"/>
  <c r="AC98" i="1" s="1"/>
  <c r="AD98" i="1" s="1"/>
  <c r="F15" i="1" s="1"/>
  <c r="AC24" i="1"/>
  <c r="AE24" i="1" s="1"/>
  <c r="D7" i="1"/>
  <c r="AE17" i="1" s="1"/>
  <c r="C71" i="1"/>
  <c r="D22" i="1"/>
  <c r="AY28" i="1" s="1"/>
  <c r="CM22" i="1"/>
  <c r="CN22" i="1" s="1"/>
  <c r="N22" i="1" s="1"/>
  <c r="BX71" i="1"/>
  <c r="BL48" i="1" l="1"/>
  <c r="DX16" i="1"/>
  <c r="CJ22" i="1"/>
  <c r="DP22" i="1"/>
  <c r="AY25" i="1"/>
  <c r="DP19" i="1"/>
  <c r="CJ21" i="1"/>
  <c r="DP21" i="1"/>
  <c r="CJ20" i="1"/>
  <c r="CT20" i="1" s="1"/>
  <c r="DP20" i="1"/>
  <c r="M10" i="1"/>
  <c r="BR71" i="1" s="1"/>
  <c r="L10" i="1"/>
  <c r="BQ71" i="1" s="1"/>
  <c r="CJ19" i="1"/>
  <c r="CT19" i="1" s="1"/>
  <c r="BM9" i="1"/>
  <c r="AO15" i="1"/>
  <c r="AQ118" i="1"/>
  <c r="AQ120" i="1" s="1"/>
  <c r="H14" i="1" s="1"/>
  <c r="CZ10" i="1" s="1"/>
  <c r="CZ14" i="1" s="1"/>
  <c r="CZ15" i="1" s="1"/>
  <c r="P6" i="1" s="1"/>
  <c r="BM31" i="1"/>
  <c r="BM32" i="1" s="1"/>
  <c r="AO14" i="1"/>
  <c r="AD115" i="1"/>
  <c r="AB115" i="1"/>
  <c r="AC115" i="1"/>
  <c r="AE115" i="1"/>
  <c r="AB126" i="1"/>
  <c r="AO16" i="1"/>
  <c r="BM10" i="1" s="1"/>
  <c r="AG115" i="1"/>
  <c r="AH115" i="1" s="1"/>
  <c r="AB114" i="1"/>
  <c r="D63" i="1" s="1"/>
  <c r="AE114" i="1"/>
  <c r="AD114" i="1"/>
  <c r="D65" i="1" s="1"/>
  <c r="CJ65" i="1" s="1"/>
  <c r="AC114" i="1"/>
  <c r="AJ114" i="1"/>
  <c r="B65" i="1" s="1"/>
  <c r="D66" i="1"/>
  <c r="CJ66" i="1" s="1"/>
  <c r="AI114" i="1"/>
  <c r="B64" i="1" s="1"/>
  <c r="D64" i="1"/>
  <c r="BA28" i="1"/>
  <c r="BB26" i="1" s="1"/>
  <c r="AZ26" i="1"/>
  <c r="AO11" i="1"/>
  <c r="BN45" i="1"/>
  <c r="AA70" i="1"/>
  <c r="AZ25" i="1"/>
  <c r="BA27" i="1"/>
  <c r="BB25" i="1" s="1"/>
  <c r="CO21" i="1"/>
  <c r="CP21" i="1" s="1"/>
  <c r="AY68" i="1"/>
  <c r="BM11" i="1"/>
  <c r="BM30" i="1"/>
  <c r="BM66" i="1"/>
  <c r="AY26" i="1"/>
  <c r="DB12" i="1"/>
  <c r="AI70" i="1"/>
  <c r="H10" i="1"/>
  <c r="BM71" i="1" s="1"/>
  <c r="AZ62" i="1"/>
  <c r="CO56" i="1"/>
  <c r="CP56" i="1" s="1"/>
  <c r="AZ61" i="1"/>
  <c r="CO55" i="1"/>
  <c r="CP55" i="1" s="1"/>
  <c r="CO51" i="1"/>
  <c r="CP51" i="1" s="1"/>
  <c r="AZ57" i="1"/>
  <c r="CO48" i="1"/>
  <c r="CP48" i="1" s="1"/>
  <c r="AZ54" i="1"/>
  <c r="AZ49" i="1"/>
  <c r="CO43" i="1"/>
  <c r="CP43" i="1" s="1"/>
  <c r="BA64" i="1"/>
  <c r="BB62" i="1" s="1"/>
  <c r="CO58" i="1"/>
  <c r="CP58" i="1" s="1"/>
  <c r="CO53" i="1"/>
  <c r="CP53" i="1" s="1"/>
  <c r="BA59" i="1"/>
  <c r="BB57" i="1" s="1"/>
  <c r="CO50" i="1"/>
  <c r="CP50" i="1" s="1"/>
  <c r="BA56" i="1"/>
  <c r="BB54" i="1" s="1"/>
  <c r="BA51" i="1"/>
  <c r="BB49" i="1" s="1"/>
  <c r="CO45" i="1"/>
  <c r="CP45" i="1" s="1"/>
  <c r="AZ58" i="1"/>
  <c r="CO52" i="1"/>
  <c r="CP52" i="1" s="1"/>
  <c r="AZ53" i="1"/>
  <c r="CO47" i="1"/>
  <c r="CP47" i="1" s="1"/>
  <c r="CO44" i="1"/>
  <c r="CP44" i="1" s="1"/>
  <c r="AZ50" i="1"/>
  <c r="BA63" i="1"/>
  <c r="BB61" i="1" s="1"/>
  <c r="CO57" i="1"/>
  <c r="CP57" i="1" s="1"/>
  <c r="BA60" i="1"/>
  <c r="BB58" i="1" s="1"/>
  <c r="CO54" i="1"/>
  <c r="CP54" i="1" s="1"/>
  <c r="BA55" i="1"/>
  <c r="BB53" i="1" s="1"/>
  <c r="CO49" i="1"/>
  <c r="CP49" i="1" s="1"/>
  <c r="BA52" i="1"/>
  <c r="BB50" i="1" s="1"/>
  <c r="CO46" i="1"/>
  <c r="CP46" i="1" s="1"/>
  <c r="CJ64" i="1" l="1"/>
  <c r="CO22" i="1"/>
  <c r="CP22" i="1" s="1"/>
  <c r="O22" i="1" s="1"/>
  <c r="O54" i="1"/>
  <c r="DQ54" i="1"/>
  <c r="DR54" i="1" s="1"/>
  <c r="O57" i="1"/>
  <c r="DQ57" i="1"/>
  <c r="DR57" i="1" s="1"/>
  <c r="O44" i="1"/>
  <c r="DQ44" i="1"/>
  <c r="DR44" i="1" s="1"/>
  <c r="O51" i="1"/>
  <c r="DQ51" i="1"/>
  <c r="DR51" i="1" s="1"/>
  <c r="O47" i="1"/>
  <c r="DQ47" i="1"/>
  <c r="DR47" i="1" s="1"/>
  <c r="O45" i="1"/>
  <c r="DQ45" i="1"/>
  <c r="DR45" i="1" s="1"/>
  <c r="O53" i="1"/>
  <c r="DQ53" i="1"/>
  <c r="DR53" i="1" s="1"/>
  <c r="O58" i="1"/>
  <c r="DQ58" i="1"/>
  <c r="DR58" i="1" s="1"/>
  <c r="O43" i="1"/>
  <c r="DQ43" i="1"/>
  <c r="DR43" i="1" s="1"/>
  <c r="O55" i="1"/>
  <c r="DQ55" i="1"/>
  <c r="DR55" i="1" s="1"/>
  <c r="O56" i="1"/>
  <c r="DQ56" i="1"/>
  <c r="DR56" i="1" s="1"/>
  <c r="O21" i="1"/>
  <c r="DQ21" i="1"/>
  <c r="DR21" i="1" s="1"/>
  <c r="O46" i="1"/>
  <c r="DQ46" i="1"/>
  <c r="DR46" i="1" s="1"/>
  <c r="O49" i="1"/>
  <c r="DQ49" i="1"/>
  <c r="DR49" i="1" s="1"/>
  <c r="O52" i="1"/>
  <c r="DQ52" i="1"/>
  <c r="DR52" i="1" s="1"/>
  <c r="O50" i="1"/>
  <c r="DQ50" i="1"/>
  <c r="DR50" i="1" s="1"/>
  <c r="O48" i="1"/>
  <c r="DQ48" i="1"/>
  <c r="DR48" i="1" s="1"/>
  <c r="CO19" i="1"/>
  <c r="CP19" i="1" s="1"/>
  <c r="CO20" i="1"/>
  <c r="CP20" i="1" s="1"/>
  <c r="J10" i="1"/>
  <c r="BO71" i="1" s="1"/>
  <c r="D69" i="1"/>
  <c r="D70" i="1"/>
  <c r="D68" i="1"/>
  <c r="AJ115" i="1"/>
  <c r="B69" i="1" s="1"/>
  <c r="AI115" i="1"/>
  <c r="B68" i="1" s="1"/>
  <c r="D67" i="1"/>
  <c r="AD132" i="1"/>
  <c r="N59" i="1" s="1"/>
  <c r="AD129" i="1"/>
  <c r="D16" i="1" s="1"/>
  <c r="AD131" i="1"/>
  <c r="I59" i="1" s="1"/>
  <c r="AY66" i="1"/>
  <c r="BL38" i="1"/>
  <c r="AY67" i="1"/>
  <c r="BL37" i="1"/>
  <c r="CJ63" i="1"/>
  <c r="AY65" i="1"/>
  <c r="BN38" i="1"/>
  <c r="BV38" i="1" s="1"/>
  <c r="BN39" i="1"/>
  <c r="BV39" i="1" s="1"/>
  <c r="BN40" i="1"/>
  <c r="BV40" i="1" s="1"/>
  <c r="BN37" i="1"/>
  <c r="BV37" i="1" s="1"/>
  <c r="D6" i="1"/>
  <c r="BD26" i="1"/>
  <c r="BC26" i="1"/>
  <c r="L14" i="1"/>
  <c r="BM67" i="1"/>
  <c r="O14" i="1" s="1"/>
  <c r="BM12" i="1"/>
  <c r="AO17" i="1"/>
  <c r="AP21" i="1" s="1"/>
  <c r="BC25" i="1"/>
  <c r="BD25" i="1"/>
  <c r="BD58" i="1"/>
  <c r="BC58" i="1"/>
  <c r="BD50" i="1"/>
  <c r="BC50" i="1"/>
  <c r="BD53" i="1"/>
  <c r="BC53" i="1"/>
  <c r="BC61" i="1"/>
  <c r="BD61" i="1"/>
  <c r="BC49" i="1"/>
  <c r="BD49" i="1"/>
  <c r="BD57" i="1"/>
  <c r="BC57" i="1"/>
  <c r="BC62" i="1"/>
  <c r="BD62" i="1"/>
  <c r="BD54" i="1"/>
  <c r="BC54" i="1"/>
  <c r="DS43" i="1" l="1"/>
  <c r="DS55" i="1"/>
  <c r="DU55" i="1" s="1"/>
  <c r="DS47" i="1"/>
  <c r="DU47" i="1" s="1"/>
  <c r="DS51" i="1"/>
  <c r="DU51" i="1" s="1"/>
  <c r="DQ22" i="1"/>
  <c r="DR22" i="1" s="1"/>
  <c r="DU43" i="1"/>
  <c r="O20" i="1"/>
  <c r="DQ20" i="1"/>
  <c r="DR20" i="1" s="1"/>
  <c r="O19" i="1"/>
  <c r="DQ19" i="1"/>
  <c r="DR19" i="1" s="1"/>
  <c r="CJ70" i="1"/>
  <c r="AY72" i="1"/>
  <c r="AY71" i="1"/>
  <c r="CJ69" i="1"/>
  <c r="CJ67" i="1"/>
  <c r="BL39" i="1"/>
  <c r="AY69" i="1"/>
  <c r="BL40" i="1"/>
  <c r="CJ68" i="1"/>
  <c r="AY70" i="1"/>
  <c r="BE26" i="1"/>
  <c r="BF26" i="1"/>
  <c r="BF25" i="1"/>
  <c r="BE25" i="1"/>
  <c r="BF62" i="1"/>
  <c r="BE62" i="1"/>
  <c r="BE49" i="1"/>
  <c r="BF49" i="1"/>
  <c r="BF54" i="1"/>
  <c r="BE54" i="1"/>
  <c r="BE57" i="1"/>
  <c r="BF57" i="1"/>
  <c r="BE53" i="1"/>
  <c r="BF53" i="1"/>
  <c r="BE50" i="1"/>
  <c r="BF50" i="1"/>
  <c r="BE58" i="1"/>
  <c r="BF58" i="1"/>
  <c r="BF61" i="1"/>
  <c r="BE61" i="1"/>
  <c r="AI77" i="1"/>
  <c r="AI82" i="1" s="1"/>
  <c r="AI88" i="1" s="1"/>
  <c r="DS19" i="1" l="1"/>
  <c r="DU19" i="1" s="1"/>
  <c r="AI16" i="1"/>
  <c r="AK16" i="1" s="1"/>
  <c r="AK43" i="1" l="1"/>
  <c r="S2" i="1"/>
  <c r="AI52" i="1"/>
  <c r="AJ52" i="1" s="1"/>
  <c r="C68" i="1" l="1"/>
  <c r="C69" i="1"/>
  <c r="C67" i="1"/>
  <c r="C70" i="1"/>
  <c r="AK17" i="1"/>
  <c r="AK18" i="1" s="1"/>
  <c r="DE11" i="1"/>
  <c r="DD19" i="1" s="1"/>
  <c r="M70" i="1"/>
  <c r="C65" i="1"/>
  <c r="C63" i="1"/>
  <c r="C66" i="1"/>
  <c r="M64" i="1"/>
  <c r="C64" i="1"/>
  <c r="M66" i="1"/>
  <c r="M65" i="1"/>
  <c r="M63" i="1"/>
  <c r="CK65" i="1"/>
  <c r="CL65" i="1" s="1"/>
  <c r="N65" i="1" s="1"/>
  <c r="M69" i="1"/>
  <c r="M67" i="1"/>
  <c r="CM70" i="1"/>
  <c r="CN70" i="1" s="1"/>
  <c r="O70" i="1" s="1"/>
  <c r="CO70" i="1" s="1"/>
  <c r="CP70" i="1" s="1"/>
  <c r="P70" i="1" s="1"/>
  <c r="CK63" i="1"/>
  <c r="CL63" i="1" s="1"/>
  <c r="N63" i="1" s="1"/>
  <c r="CK64" i="1"/>
  <c r="CL64" i="1" s="1"/>
  <c r="N64" i="1" s="1"/>
  <c r="CK68" i="1"/>
  <c r="CL68" i="1" s="1"/>
  <c r="N68" i="1" s="1"/>
  <c r="CK69" i="1"/>
  <c r="CL69" i="1" s="1"/>
  <c r="N69" i="1" s="1"/>
  <c r="M68" i="1"/>
  <c r="CK67" i="1"/>
  <c r="CL67" i="1" s="1"/>
  <c r="N67" i="1" s="1"/>
  <c r="CK66" i="1"/>
  <c r="CL66" i="1" s="1"/>
  <c r="N66" i="1" s="1"/>
  <c r="CK70" i="1"/>
  <c r="CL70" i="1" s="1"/>
  <c r="N70" i="1" s="1"/>
  <c r="S4" i="1" l="1"/>
  <c r="DZ5" i="1"/>
  <c r="CM66" i="1"/>
  <c r="CN66" i="1" s="1"/>
  <c r="O66" i="1" s="1"/>
  <c r="CO66" i="1" s="1"/>
  <c r="CP66" i="1" s="1"/>
  <c r="P66" i="1" s="1"/>
  <c r="CM64" i="1"/>
  <c r="CN64" i="1" s="1"/>
  <c r="O64" i="1" s="1"/>
  <c r="CO64" i="1" s="1"/>
  <c r="CP64" i="1" s="1"/>
  <c r="P64" i="1" s="1"/>
  <c r="CM63" i="1"/>
  <c r="CN63" i="1" s="1"/>
  <c r="O63" i="1" s="1"/>
  <c r="CO63" i="1" s="1"/>
  <c r="CP63" i="1" s="1"/>
  <c r="P63" i="1" s="1"/>
  <c r="AX69" i="1"/>
  <c r="AX70" i="1"/>
  <c r="AX72" i="1"/>
  <c r="AX71" i="1"/>
  <c r="DC19" i="1"/>
  <c r="CM67" i="1"/>
  <c r="CN67" i="1" s="1"/>
  <c r="O67" i="1" s="1"/>
  <c r="DE19" i="1"/>
  <c r="T19" i="1" s="1"/>
  <c r="CM69" i="1"/>
  <c r="CN69" i="1" s="1"/>
  <c r="O69" i="1" s="1"/>
  <c r="CO69" i="1" s="1"/>
  <c r="CP69" i="1" s="1"/>
  <c r="P69" i="1" s="1"/>
  <c r="CM68" i="1"/>
  <c r="CN68" i="1" s="1"/>
  <c r="O68" i="1" s="1"/>
  <c r="CM65" i="1"/>
  <c r="CN65" i="1" s="1"/>
  <c r="O65" i="1" s="1"/>
  <c r="CO65" i="1" s="1"/>
  <c r="CP65" i="1" s="1"/>
  <c r="P65" i="1" s="1"/>
  <c r="B23" i="1"/>
  <c r="AX65" i="1"/>
  <c r="BA72" i="1"/>
  <c r="BB70" i="1" s="1"/>
  <c r="AX66" i="1"/>
  <c r="AX68" i="1"/>
  <c r="AX67" i="1"/>
  <c r="AZ66" i="1" l="1"/>
  <c r="AZ65" i="1"/>
  <c r="CO68" i="1"/>
  <c r="CP68" i="1" s="1"/>
  <c r="P68" i="1" s="1"/>
  <c r="CO67" i="1"/>
  <c r="CP67" i="1" s="1"/>
  <c r="P67" i="1" s="1"/>
  <c r="BA68" i="1"/>
  <c r="BB66" i="1" s="1"/>
  <c r="BD66" i="1" s="1"/>
  <c r="Q68" i="1"/>
  <c r="AZ69" i="1"/>
  <c r="BA67" i="1"/>
  <c r="BB65" i="1" s="1"/>
  <c r="BD65" i="1" s="1"/>
  <c r="Q67" i="1"/>
  <c r="BA71" i="1"/>
  <c r="BB69" i="1" s="1"/>
  <c r="AZ70" i="1"/>
  <c r="BD70" i="1" s="1"/>
  <c r="B27" i="1"/>
  <c r="D30" i="1" s="1"/>
  <c r="DP30" i="1" s="1"/>
  <c r="DB23" i="1"/>
  <c r="AW29" i="1"/>
  <c r="D26" i="1"/>
  <c r="DP26" i="1" s="1"/>
  <c r="C26" i="1"/>
  <c r="D23" i="1"/>
  <c r="DP23" i="1" s="1"/>
  <c r="CS26" i="1"/>
  <c r="C25" i="1"/>
  <c r="D25" i="1"/>
  <c r="DP25" i="1" s="1"/>
  <c r="C23" i="1"/>
  <c r="L26" i="1"/>
  <c r="L24" i="1"/>
  <c r="L25" i="1"/>
  <c r="D24" i="1"/>
  <c r="DP24" i="1" s="1"/>
  <c r="C24" i="1"/>
  <c r="BL17" i="1"/>
  <c r="DX17" i="1" s="1"/>
  <c r="L23" i="1"/>
  <c r="BC65" i="1" l="1"/>
  <c r="AW33" i="1"/>
  <c r="BC70" i="1"/>
  <c r="BE70" i="1" s="1"/>
  <c r="BC69" i="1"/>
  <c r="BC66" i="1"/>
  <c r="BE66" i="1" s="1"/>
  <c r="CQ68" i="1"/>
  <c r="CR68" i="1" s="1"/>
  <c r="R68" i="1" s="1"/>
  <c r="BO40" i="1" s="1"/>
  <c r="L27" i="1"/>
  <c r="D27" i="1"/>
  <c r="CS30" i="1"/>
  <c r="CQ67" i="1"/>
  <c r="CR67" i="1" s="1"/>
  <c r="R67" i="1" s="1"/>
  <c r="BO39" i="1" s="1"/>
  <c r="C27" i="1"/>
  <c r="AX33" i="1" s="1"/>
  <c r="L28" i="1"/>
  <c r="C29" i="1"/>
  <c r="AX35" i="1" s="1"/>
  <c r="C30" i="1"/>
  <c r="AX36" i="1" s="1"/>
  <c r="L29" i="1"/>
  <c r="D29" i="1"/>
  <c r="AY35" i="1" s="1"/>
  <c r="L30" i="1"/>
  <c r="D28" i="1"/>
  <c r="C28" i="1"/>
  <c r="BL18" i="1"/>
  <c r="BD69" i="1"/>
  <c r="BE69" i="1" s="1"/>
  <c r="DB27" i="1"/>
  <c r="DD27" i="1" s="1"/>
  <c r="B31" i="1"/>
  <c r="DC23" i="1"/>
  <c r="DD23" i="1"/>
  <c r="CJ30" i="1"/>
  <c r="AY36" i="1"/>
  <c r="CM27" i="1"/>
  <c r="CN27" i="1" s="1"/>
  <c r="N27" i="1" s="1"/>
  <c r="AY33" i="1"/>
  <c r="AX34" i="1"/>
  <c r="AX30" i="1"/>
  <c r="CM25" i="1"/>
  <c r="CN25" i="1" s="1"/>
  <c r="N25" i="1" s="1"/>
  <c r="CM26" i="1"/>
  <c r="CN26" i="1" s="1"/>
  <c r="N26" i="1" s="1"/>
  <c r="AX29" i="1"/>
  <c r="AX31" i="1"/>
  <c r="AX32" i="1"/>
  <c r="BF70" i="1"/>
  <c r="CM29" i="1"/>
  <c r="CN29" i="1" s="1"/>
  <c r="N29" i="1" s="1"/>
  <c r="CM30" i="1"/>
  <c r="CN30" i="1" s="1"/>
  <c r="N30" i="1" s="1"/>
  <c r="BF66" i="1"/>
  <c r="CM23" i="1"/>
  <c r="CN23" i="1" s="1"/>
  <c r="N23" i="1" s="1"/>
  <c r="BV17" i="1"/>
  <c r="CA17" i="1" s="1"/>
  <c r="EA17" i="1" s="1"/>
  <c r="EE17" i="1" s="1"/>
  <c r="EI17" i="1" s="1"/>
  <c r="BL49" i="1"/>
  <c r="BW17" i="1"/>
  <c r="CB17" i="1" s="1"/>
  <c r="EB17" i="1" s="1"/>
  <c r="EF17" i="1" s="1"/>
  <c r="EJ17" i="1" s="1"/>
  <c r="AY30" i="1"/>
  <c r="CJ24" i="1"/>
  <c r="CT24" i="1" s="1"/>
  <c r="CM24" i="1"/>
  <c r="CN24" i="1" s="1"/>
  <c r="N24" i="1" s="1"/>
  <c r="AY31" i="1"/>
  <c r="CJ25" i="1"/>
  <c r="AY29" i="1"/>
  <c r="CJ23" i="1"/>
  <c r="CT23" i="1" s="1"/>
  <c r="AY32" i="1"/>
  <c r="CJ26" i="1"/>
  <c r="BE65" i="1"/>
  <c r="BF65" i="1"/>
  <c r="DC27" i="1" l="1"/>
  <c r="DX18" i="1"/>
  <c r="AY34" i="1"/>
  <c r="DP28" i="1"/>
  <c r="CJ29" i="1"/>
  <c r="DP29" i="1"/>
  <c r="DP27" i="1"/>
  <c r="BF69" i="1"/>
  <c r="CM28" i="1"/>
  <c r="CN28" i="1" s="1"/>
  <c r="N28" i="1" s="1"/>
  <c r="CO28" i="1" s="1"/>
  <c r="CP28" i="1" s="1"/>
  <c r="CJ27" i="1"/>
  <c r="CT27" i="1" s="1"/>
  <c r="CJ28" i="1"/>
  <c r="CT28" i="1" s="1"/>
  <c r="BL50" i="1"/>
  <c r="DE23" i="1"/>
  <c r="T23" i="1" s="1"/>
  <c r="DE27" i="1"/>
  <c r="T27" i="1" s="1"/>
  <c r="DB31" i="1"/>
  <c r="B35" i="1"/>
  <c r="L32" i="1"/>
  <c r="C33" i="1"/>
  <c r="CS34" i="1"/>
  <c r="L33" i="1"/>
  <c r="D33" i="1"/>
  <c r="DP33" i="1" s="1"/>
  <c r="BL19" i="1"/>
  <c r="DX19" i="1" s="1"/>
  <c r="C32" i="1"/>
  <c r="D31" i="1"/>
  <c r="DP31" i="1" s="1"/>
  <c r="C34" i="1"/>
  <c r="C31" i="1"/>
  <c r="L31" i="1"/>
  <c r="AW37" i="1"/>
  <c r="L34" i="1"/>
  <c r="D34" i="1"/>
  <c r="DP34" i="1" s="1"/>
  <c r="D32" i="1"/>
  <c r="DP32" i="1" s="1"/>
  <c r="BS40" i="1"/>
  <c r="BR40" i="1"/>
  <c r="BQ40" i="1"/>
  <c r="BP40" i="1"/>
  <c r="BU40" i="1" s="1"/>
  <c r="BW40" i="1" s="1"/>
  <c r="AZ30" i="1"/>
  <c r="CO24" i="1"/>
  <c r="CP24" i="1" s="1"/>
  <c r="AZ29" i="1"/>
  <c r="CO23" i="1"/>
  <c r="CP23" i="1" s="1"/>
  <c r="BP39" i="1"/>
  <c r="BU39" i="1" s="1"/>
  <c r="BQ39" i="1"/>
  <c r="BS39" i="1"/>
  <c r="BR39" i="1"/>
  <c r="AZ33" i="1"/>
  <c r="CO27" i="1"/>
  <c r="CP27" i="1" s="1"/>
  <c r="BA36" i="1"/>
  <c r="BB34" i="1" s="1"/>
  <c r="CO30" i="1"/>
  <c r="CP30" i="1" s="1"/>
  <c r="BA35" i="1"/>
  <c r="BB33" i="1" s="1"/>
  <c r="CO29" i="1"/>
  <c r="CP29" i="1" s="1"/>
  <c r="BA32" i="1"/>
  <c r="BB30" i="1" s="1"/>
  <c r="CO26" i="1"/>
  <c r="CP26" i="1" s="1"/>
  <c r="CO25" i="1"/>
  <c r="CP25" i="1" s="1"/>
  <c r="BA31" i="1"/>
  <c r="BB29" i="1" s="1"/>
  <c r="AZ34" i="1" l="1"/>
  <c r="BW39" i="1"/>
  <c r="CM33" i="1"/>
  <c r="CN33" i="1" s="1"/>
  <c r="N33" i="1" s="1"/>
  <c r="CM34" i="1"/>
  <c r="CN34" i="1" s="1"/>
  <c r="N34" i="1" s="1"/>
  <c r="O25" i="1"/>
  <c r="DQ25" i="1"/>
  <c r="DR25" i="1" s="1"/>
  <c r="O29" i="1"/>
  <c r="DQ29" i="1"/>
  <c r="DR29" i="1" s="1"/>
  <c r="O27" i="1"/>
  <c r="DQ27" i="1"/>
  <c r="DR27" i="1" s="1"/>
  <c r="O23" i="1"/>
  <c r="DQ23" i="1"/>
  <c r="DR23" i="1" s="1"/>
  <c r="O26" i="1"/>
  <c r="DQ26" i="1"/>
  <c r="DR26" i="1" s="1"/>
  <c r="O30" i="1"/>
  <c r="DQ30" i="1"/>
  <c r="DR30" i="1" s="1"/>
  <c r="O28" i="1"/>
  <c r="DQ28" i="1"/>
  <c r="DR28" i="1" s="1"/>
  <c r="O24" i="1"/>
  <c r="DQ24" i="1"/>
  <c r="DR24" i="1" s="1"/>
  <c r="CM31" i="1"/>
  <c r="CN31" i="1" s="1"/>
  <c r="N31" i="1" s="1"/>
  <c r="CM32" i="1"/>
  <c r="CN32" i="1" s="1"/>
  <c r="N32" i="1" s="1"/>
  <c r="CJ32" i="1"/>
  <c r="CT32" i="1" s="1"/>
  <c r="AY38" i="1"/>
  <c r="AX40" i="1"/>
  <c r="AX38" i="1"/>
  <c r="AY39" i="1"/>
  <c r="CJ33" i="1"/>
  <c r="AX39" i="1"/>
  <c r="DC31" i="1"/>
  <c r="DD31" i="1"/>
  <c r="AY40" i="1"/>
  <c r="CJ34" i="1"/>
  <c r="AX37" i="1"/>
  <c r="CJ31" i="1"/>
  <c r="CT31" i="1" s="1"/>
  <c r="AY37" i="1"/>
  <c r="BL51" i="1"/>
  <c r="BW19" i="1"/>
  <c r="CB19" i="1" s="1"/>
  <c r="EB19" i="1" s="1"/>
  <c r="EF19" i="1" s="1"/>
  <c r="EJ19" i="1" s="1"/>
  <c r="BV19" i="1"/>
  <c r="CA19" i="1" s="1"/>
  <c r="EA19" i="1" s="1"/>
  <c r="EE19" i="1" s="1"/>
  <c r="EI19" i="1" s="1"/>
  <c r="DB35" i="1"/>
  <c r="B39" i="1"/>
  <c r="CS38" i="1"/>
  <c r="C35" i="1"/>
  <c r="C36" i="1"/>
  <c r="D38" i="1"/>
  <c r="DP38" i="1" s="1"/>
  <c r="D36" i="1"/>
  <c r="DP36" i="1" s="1"/>
  <c r="D35" i="1"/>
  <c r="DP35" i="1" s="1"/>
  <c r="L37" i="1"/>
  <c r="BL20" i="1"/>
  <c r="DX20" i="1" s="1"/>
  <c r="C38" i="1"/>
  <c r="AW41" i="1"/>
  <c r="L38" i="1"/>
  <c r="C37" i="1"/>
  <c r="L35" i="1"/>
  <c r="L36" i="1"/>
  <c r="D37" i="1"/>
  <c r="DP37" i="1" s="1"/>
  <c r="BC29" i="1"/>
  <c r="BD29" i="1"/>
  <c r="BC30" i="1"/>
  <c r="BD30" i="1"/>
  <c r="BC34" i="1"/>
  <c r="BD34" i="1"/>
  <c r="BC33" i="1"/>
  <c r="BD33" i="1"/>
  <c r="DS23" i="1" l="1"/>
  <c r="DU23" i="1" s="1"/>
  <c r="DS27" i="1"/>
  <c r="DU27" i="1" s="1"/>
  <c r="BA40" i="1"/>
  <c r="BB38" i="1" s="1"/>
  <c r="CO34" i="1"/>
  <c r="CP34" i="1" s="1"/>
  <c r="BA39" i="1"/>
  <c r="BB37" i="1" s="1"/>
  <c r="CO33" i="1"/>
  <c r="CP33" i="1" s="1"/>
  <c r="CM36" i="1"/>
  <c r="CN36" i="1" s="1"/>
  <c r="N36" i="1" s="1"/>
  <c r="CM35" i="1"/>
  <c r="CN35" i="1" s="1"/>
  <c r="N35" i="1" s="1"/>
  <c r="CM38" i="1"/>
  <c r="CN38" i="1" s="1"/>
  <c r="N38" i="1" s="1"/>
  <c r="CM37" i="1"/>
  <c r="CN37" i="1" s="1"/>
  <c r="N37" i="1" s="1"/>
  <c r="AZ37" i="1"/>
  <c r="CO31" i="1"/>
  <c r="CP31" i="1" s="1"/>
  <c r="AZ38" i="1"/>
  <c r="CO32" i="1"/>
  <c r="CP32" i="1" s="1"/>
  <c r="DE31" i="1"/>
  <c r="AY43" i="1"/>
  <c r="CJ37" i="1"/>
  <c r="AX44" i="1"/>
  <c r="CJ36" i="1"/>
  <c r="CT36" i="1" s="1"/>
  <c r="AY42" i="1"/>
  <c r="AX42" i="1"/>
  <c r="DB39" i="1"/>
  <c r="B43" i="1"/>
  <c r="CS42" i="1"/>
  <c r="C40" i="1"/>
  <c r="L40" i="1"/>
  <c r="CM40" i="1" s="1"/>
  <c r="CN40" i="1" s="1"/>
  <c r="N40" i="1" s="1"/>
  <c r="L42" i="1"/>
  <c r="CM42" i="1" s="1"/>
  <c r="CN42" i="1" s="1"/>
  <c r="N42" i="1" s="1"/>
  <c r="D39" i="1"/>
  <c r="DP39" i="1" s="1"/>
  <c r="BL21" i="1"/>
  <c r="DX21" i="1" s="1"/>
  <c r="C39" i="1"/>
  <c r="AW45" i="1"/>
  <c r="C42" i="1"/>
  <c r="D42" i="1"/>
  <c r="DP42" i="1" s="1"/>
  <c r="D40" i="1"/>
  <c r="DP40" i="1" s="1"/>
  <c r="C41" i="1"/>
  <c r="L39" i="1"/>
  <c r="CM39" i="1" s="1"/>
  <c r="CN39" i="1" s="1"/>
  <c r="N39" i="1" s="1"/>
  <c r="D41" i="1"/>
  <c r="DP41" i="1" s="1"/>
  <c r="L41" i="1"/>
  <c r="CM41" i="1" s="1"/>
  <c r="CN41" i="1" s="1"/>
  <c r="N41" i="1" s="1"/>
  <c r="AX43" i="1"/>
  <c r="BT20" i="1"/>
  <c r="BY20" i="1" s="1"/>
  <c r="DY20" i="1" s="1"/>
  <c r="EC20" i="1" s="1"/>
  <c r="EG20" i="1" s="1"/>
  <c r="BU20" i="1"/>
  <c r="BZ20" i="1" s="1"/>
  <c r="DZ20" i="1" s="1"/>
  <c r="ED20" i="1" s="1"/>
  <c r="EH20" i="1" s="1"/>
  <c r="BL52" i="1"/>
  <c r="BV20" i="1"/>
  <c r="CA20" i="1" s="1"/>
  <c r="EA20" i="1" s="1"/>
  <c r="EE20" i="1" s="1"/>
  <c r="EI20" i="1" s="1"/>
  <c r="BW20" i="1"/>
  <c r="CB20" i="1" s="1"/>
  <c r="EB20" i="1" s="1"/>
  <c r="EF20" i="1" s="1"/>
  <c r="EJ20" i="1" s="1"/>
  <c r="AY41" i="1"/>
  <c r="CJ35" i="1"/>
  <c r="CT35" i="1" s="1"/>
  <c r="AY44" i="1"/>
  <c r="CJ38" i="1"/>
  <c r="AX41" i="1"/>
  <c r="DC35" i="1"/>
  <c r="DD35" i="1"/>
  <c r="BF33" i="1"/>
  <c r="BE33" i="1"/>
  <c r="BE34" i="1"/>
  <c r="BF34" i="1"/>
  <c r="BE30" i="1"/>
  <c r="BF30" i="1"/>
  <c r="BF29" i="1"/>
  <c r="BE29" i="1"/>
  <c r="BA47" i="1" l="1"/>
  <c r="BB45" i="1" s="1"/>
  <c r="CO41" i="1"/>
  <c r="CP41" i="1" s="1"/>
  <c r="CO39" i="1"/>
  <c r="CP39" i="1" s="1"/>
  <c r="AZ45" i="1"/>
  <c r="AZ46" i="1"/>
  <c r="CO40" i="1"/>
  <c r="CP40" i="1" s="1"/>
  <c r="CO42" i="1"/>
  <c r="CP42" i="1" s="1"/>
  <c r="BA48" i="1"/>
  <c r="BB46" i="1" s="1"/>
  <c r="BA43" i="1"/>
  <c r="BB41" i="1" s="1"/>
  <c r="CO37" i="1"/>
  <c r="CP37" i="1" s="1"/>
  <c r="BA44" i="1"/>
  <c r="BB42" i="1" s="1"/>
  <c r="CO38" i="1"/>
  <c r="CP38" i="1" s="1"/>
  <c r="AZ41" i="1"/>
  <c r="CO35" i="1"/>
  <c r="CP35" i="1" s="1"/>
  <c r="AZ42" i="1"/>
  <c r="CO36" i="1"/>
  <c r="CP36" i="1" s="1"/>
  <c r="O33" i="1"/>
  <c r="DQ33" i="1"/>
  <c r="DR33" i="1" s="1"/>
  <c r="O34" i="1"/>
  <c r="DQ34" i="1"/>
  <c r="DR34" i="1" s="1"/>
  <c r="BD37" i="1"/>
  <c r="BC37" i="1"/>
  <c r="BD38" i="1"/>
  <c r="BC38" i="1"/>
  <c r="O32" i="1"/>
  <c r="DQ32" i="1"/>
  <c r="DR32" i="1" s="1"/>
  <c r="O31" i="1"/>
  <c r="DQ31" i="1"/>
  <c r="DR31" i="1" s="1"/>
  <c r="DE35" i="1"/>
  <c r="T31" i="1"/>
  <c r="CJ42" i="1"/>
  <c r="AY48" i="1"/>
  <c r="BL53" i="1"/>
  <c r="BT21" i="1"/>
  <c r="BY21" i="1" s="1"/>
  <c r="DY21" i="1" s="1"/>
  <c r="EC21" i="1" s="1"/>
  <c r="EG21" i="1" s="1"/>
  <c r="BV21" i="1"/>
  <c r="CA21" i="1" s="1"/>
  <c r="EA21" i="1" s="1"/>
  <c r="EE21" i="1" s="1"/>
  <c r="EI21" i="1" s="1"/>
  <c r="BW21" i="1"/>
  <c r="CB21" i="1" s="1"/>
  <c r="EB21" i="1" s="1"/>
  <c r="EF21" i="1" s="1"/>
  <c r="EJ21" i="1" s="1"/>
  <c r="BU21" i="1"/>
  <c r="BZ21" i="1" s="1"/>
  <c r="DZ21" i="1" s="1"/>
  <c r="ED21" i="1" s="1"/>
  <c r="EH21" i="1" s="1"/>
  <c r="AY45" i="1"/>
  <c r="CJ39" i="1"/>
  <c r="CT39" i="1" s="1"/>
  <c r="DC39" i="1"/>
  <c r="DD39" i="1"/>
  <c r="CJ41" i="1"/>
  <c r="AY47" i="1"/>
  <c r="AX47" i="1"/>
  <c r="AY46" i="1"/>
  <c r="CJ40" i="1"/>
  <c r="CT40" i="1" s="1"/>
  <c r="AX48" i="1"/>
  <c r="AX45" i="1"/>
  <c r="AX46" i="1"/>
  <c r="DB43" i="1"/>
  <c r="B47" i="1"/>
  <c r="C45" i="1"/>
  <c r="D46" i="1"/>
  <c r="DP46" i="1" s="1"/>
  <c r="C44" i="1"/>
  <c r="C46" i="1"/>
  <c r="D44" i="1"/>
  <c r="DP44" i="1" s="1"/>
  <c r="L46" i="1"/>
  <c r="L44" i="1"/>
  <c r="D43" i="1"/>
  <c r="DP43" i="1" s="1"/>
  <c r="CS46" i="1"/>
  <c r="AW49" i="1"/>
  <c r="D45" i="1"/>
  <c r="DP45" i="1" s="1"/>
  <c r="L45" i="1"/>
  <c r="BL22" i="1"/>
  <c r="DX22" i="1" s="1"/>
  <c r="C43" i="1"/>
  <c r="L43" i="1"/>
  <c r="DS31" i="1" l="1"/>
  <c r="BD46" i="1"/>
  <c r="BC46" i="1"/>
  <c r="O40" i="1"/>
  <c r="DQ40" i="1"/>
  <c r="DR40" i="1" s="1"/>
  <c r="O41" i="1"/>
  <c r="DQ41" i="1"/>
  <c r="DR41" i="1" s="1"/>
  <c r="O42" i="1"/>
  <c r="DQ42" i="1"/>
  <c r="DR42" i="1" s="1"/>
  <c r="O39" i="1"/>
  <c r="DQ39" i="1"/>
  <c r="DR39" i="1" s="1"/>
  <c r="DS39" i="1" s="1"/>
  <c r="BC45" i="1"/>
  <c r="BD45" i="1"/>
  <c r="O35" i="1"/>
  <c r="DQ35" i="1"/>
  <c r="DR35" i="1" s="1"/>
  <c r="DR60" i="1" s="1"/>
  <c r="O38" i="1"/>
  <c r="DQ38" i="1"/>
  <c r="DR38" i="1" s="1"/>
  <c r="O37" i="1"/>
  <c r="DQ37" i="1"/>
  <c r="DR37" i="1" s="1"/>
  <c r="BE38" i="1"/>
  <c r="BF38" i="1"/>
  <c r="BF37" i="1"/>
  <c r="BE37" i="1"/>
  <c r="O36" i="1"/>
  <c r="DQ36" i="1"/>
  <c r="DR36" i="1" s="1"/>
  <c r="BD42" i="1"/>
  <c r="BC42" i="1"/>
  <c r="BD41" i="1"/>
  <c r="BC41" i="1"/>
  <c r="DU31" i="1"/>
  <c r="DJ39" i="1"/>
  <c r="DK39" i="1" s="1"/>
  <c r="DE39" i="1"/>
  <c r="AX49" i="1"/>
  <c r="BW22" i="1"/>
  <c r="CB22" i="1" s="1"/>
  <c r="EB22" i="1" s="1"/>
  <c r="EF22" i="1" s="1"/>
  <c r="EJ22" i="1" s="1"/>
  <c r="BT22" i="1"/>
  <c r="BY22" i="1" s="1"/>
  <c r="DY22" i="1" s="1"/>
  <c r="EC22" i="1" s="1"/>
  <c r="EG22" i="1" s="1"/>
  <c r="BU22" i="1"/>
  <c r="BZ22" i="1" s="1"/>
  <c r="DZ22" i="1" s="1"/>
  <c r="ED22" i="1" s="1"/>
  <c r="EH22" i="1" s="1"/>
  <c r="BL54" i="1"/>
  <c r="BV22" i="1"/>
  <c r="CA22" i="1" s="1"/>
  <c r="EA22" i="1" s="1"/>
  <c r="EE22" i="1" s="1"/>
  <c r="EI22" i="1" s="1"/>
  <c r="CJ45" i="1"/>
  <c r="AY51" i="1"/>
  <c r="AY49" i="1"/>
  <c r="CJ43" i="1"/>
  <c r="CT43" i="1" s="1"/>
  <c r="AX52" i="1"/>
  <c r="CJ46" i="1"/>
  <c r="AY52" i="1"/>
  <c r="DB47" i="1"/>
  <c r="B51" i="1"/>
  <c r="AW53" i="1"/>
  <c r="CS50" i="1"/>
  <c r="L48" i="1"/>
  <c r="C49" i="1"/>
  <c r="D50" i="1"/>
  <c r="DP50" i="1" s="1"/>
  <c r="D48" i="1"/>
  <c r="DP48" i="1" s="1"/>
  <c r="L49" i="1"/>
  <c r="C48" i="1"/>
  <c r="D49" i="1"/>
  <c r="DP49" i="1" s="1"/>
  <c r="D47" i="1"/>
  <c r="DP47" i="1" s="1"/>
  <c r="L47" i="1"/>
  <c r="L50" i="1"/>
  <c r="C50" i="1"/>
  <c r="C47" i="1"/>
  <c r="BL23" i="1"/>
  <c r="DX23" i="1" s="1"/>
  <c r="T35" i="1"/>
  <c r="AY50" i="1"/>
  <c r="CJ44" i="1"/>
  <c r="CT44" i="1" s="1"/>
  <c r="AX50" i="1"/>
  <c r="AX51" i="1"/>
  <c r="DC43" i="1"/>
  <c r="DD43" i="1"/>
  <c r="DS35" i="1" l="1"/>
  <c r="V18" i="1"/>
  <c r="V17" i="1"/>
  <c r="V16" i="1"/>
  <c r="V14" i="1"/>
  <c r="V12" i="1"/>
  <c r="V10" i="1"/>
  <c r="V7" i="1"/>
  <c r="V5" i="1"/>
  <c r="V15" i="1"/>
  <c r="V8" i="1"/>
  <c r="V13" i="1"/>
  <c r="V11" i="1"/>
  <c r="V9" i="1"/>
  <c r="V6" i="1"/>
  <c r="BE45" i="1"/>
  <c r="BF45" i="1"/>
  <c r="DU39" i="1"/>
  <c r="BF46" i="1"/>
  <c r="BE46" i="1"/>
  <c r="DU35" i="1"/>
  <c r="BF41" i="1"/>
  <c r="BE41" i="1"/>
  <c r="BF42" i="1"/>
  <c r="BE42" i="1"/>
  <c r="DJ43" i="1"/>
  <c r="DK43" i="1" s="1"/>
  <c r="DE43" i="1"/>
  <c r="AX53" i="1"/>
  <c r="CJ47" i="1"/>
  <c r="CT47" i="1" s="1"/>
  <c r="AY53" i="1"/>
  <c r="AX54" i="1"/>
  <c r="CJ48" i="1"/>
  <c r="CT48" i="1" s="1"/>
  <c r="AY54" i="1"/>
  <c r="AX55" i="1"/>
  <c r="DC47" i="1"/>
  <c r="DD47" i="1"/>
  <c r="T39" i="1"/>
  <c r="BV23" i="1"/>
  <c r="CA23" i="1" s="1"/>
  <c r="EA23" i="1" s="1"/>
  <c r="EE23" i="1" s="1"/>
  <c r="EI23" i="1" s="1"/>
  <c r="BU23" i="1"/>
  <c r="BZ23" i="1" s="1"/>
  <c r="DZ23" i="1" s="1"/>
  <c r="ED23" i="1" s="1"/>
  <c r="EH23" i="1" s="1"/>
  <c r="BL55" i="1"/>
  <c r="BW23" i="1"/>
  <c r="CB23" i="1" s="1"/>
  <c r="EB23" i="1" s="1"/>
  <c r="EF23" i="1" s="1"/>
  <c r="EJ23" i="1" s="1"/>
  <c r="BT23" i="1"/>
  <c r="BY23" i="1" s="1"/>
  <c r="DY23" i="1" s="1"/>
  <c r="EC23" i="1" s="1"/>
  <c r="EG23" i="1" s="1"/>
  <c r="AX56" i="1"/>
  <c r="CJ49" i="1"/>
  <c r="AY55" i="1"/>
  <c r="CJ50" i="1"/>
  <c r="AY56" i="1"/>
  <c r="DB51" i="1"/>
  <c r="B55" i="1"/>
  <c r="D53" i="1"/>
  <c r="DP53" i="1" s="1"/>
  <c r="L51" i="1"/>
  <c r="D51" i="1"/>
  <c r="DP51" i="1" s="1"/>
  <c r="C51" i="1"/>
  <c r="CS54" i="1"/>
  <c r="C54" i="1"/>
  <c r="BL24" i="1"/>
  <c r="DX24" i="1" s="1"/>
  <c r="AW57" i="1"/>
  <c r="D54" i="1"/>
  <c r="DP54" i="1" s="1"/>
  <c r="C53" i="1"/>
  <c r="D52" i="1"/>
  <c r="DP52" i="1" s="1"/>
  <c r="L54" i="1"/>
  <c r="L53" i="1"/>
  <c r="C52" i="1"/>
  <c r="L52" i="1"/>
  <c r="BF74" i="1" l="1"/>
  <c r="BF78" i="1" s="1"/>
  <c r="BE74" i="1"/>
  <c r="BE77" i="1" s="1"/>
  <c r="DJ47" i="1"/>
  <c r="DK47" i="1" s="1"/>
  <c r="DE47" i="1"/>
  <c r="CJ52" i="1"/>
  <c r="CT52" i="1" s="1"/>
  <c r="AY58" i="1"/>
  <c r="CJ54" i="1"/>
  <c r="AY60" i="1"/>
  <c r="BT24" i="1"/>
  <c r="BY24" i="1" s="1"/>
  <c r="DY24" i="1" s="1"/>
  <c r="EC24" i="1" s="1"/>
  <c r="EG24" i="1" s="1"/>
  <c r="BV24" i="1"/>
  <c r="CA24" i="1" s="1"/>
  <c r="EA24" i="1" s="1"/>
  <c r="EE24" i="1" s="1"/>
  <c r="EI24" i="1" s="1"/>
  <c r="BL56" i="1"/>
  <c r="BW24" i="1"/>
  <c r="CB24" i="1" s="1"/>
  <c r="EB24" i="1" s="1"/>
  <c r="EF24" i="1" s="1"/>
  <c r="EJ24" i="1" s="1"/>
  <c r="BU24" i="1"/>
  <c r="BZ24" i="1" s="1"/>
  <c r="DZ24" i="1" s="1"/>
  <c r="ED24" i="1" s="1"/>
  <c r="EH24" i="1" s="1"/>
  <c r="AX60" i="1"/>
  <c r="AX57" i="1"/>
  <c r="DC51" i="1"/>
  <c r="DD51" i="1"/>
  <c r="AX58" i="1"/>
  <c r="AX59" i="1"/>
  <c r="CJ51" i="1"/>
  <c r="CT51" i="1" s="1"/>
  <c r="AY57" i="1"/>
  <c r="CJ53" i="1"/>
  <c r="AY59" i="1"/>
  <c r="DB55" i="1"/>
  <c r="AW61" i="1"/>
  <c r="D57" i="1"/>
  <c r="DP57" i="1" s="1"/>
  <c r="D55" i="1"/>
  <c r="DP55" i="1" s="1"/>
  <c r="L58" i="1"/>
  <c r="C57" i="1"/>
  <c r="L57" i="1"/>
  <c r="CS58" i="1"/>
  <c r="D58" i="1"/>
  <c r="DP58" i="1" s="1"/>
  <c r="C58" i="1"/>
  <c r="C56" i="1"/>
  <c r="L55" i="1"/>
  <c r="C55" i="1"/>
  <c r="D56" i="1"/>
  <c r="DP56" i="1" s="1"/>
  <c r="BL25" i="1"/>
  <c r="DX25" i="1" s="1"/>
  <c r="L56" i="1"/>
  <c r="T43" i="1"/>
  <c r="BG81" i="1" l="1"/>
  <c r="BF75" i="1"/>
  <c r="BG82" i="1"/>
  <c r="BG83" i="1" s="1"/>
  <c r="DJ51" i="1"/>
  <c r="DK51" i="1" s="1"/>
  <c r="DE51" i="1"/>
  <c r="BW25" i="1"/>
  <c r="CB25" i="1" s="1"/>
  <c r="EB25" i="1" s="1"/>
  <c r="EF25" i="1" s="1"/>
  <c r="EJ25" i="1" s="1"/>
  <c r="BT25" i="1"/>
  <c r="BY25" i="1" s="1"/>
  <c r="DY25" i="1" s="1"/>
  <c r="EC25" i="1" s="1"/>
  <c r="EG25" i="1" s="1"/>
  <c r="BV25" i="1"/>
  <c r="CA25" i="1" s="1"/>
  <c r="EA25" i="1" s="1"/>
  <c r="EE25" i="1" s="1"/>
  <c r="EI25" i="1" s="1"/>
  <c r="BU25" i="1"/>
  <c r="BZ25" i="1" s="1"/>
  <c r="DZ25" i="1" s="1"/>
  <c r="ED25" i="1" s="1"/>
  <c r="EH25" i="1" s="1"/>
  <c r="BL57" i="1"/>
  <c r="AX61" i="1"/>
  <c r="AX62" i="1"/>
  <c r="CJ58" i="1"/>
  <c r="AY64" i="1"/>
  <c r="AX63" i="1"/>
  <c r="AY63" i="1"/>
  <c r="CJ57" i="1"/>
  <c r="DC55" i="1"/>
  <c r="DD55" i="1"/>
  <c r="CJ56" i="1"/>
  <c r="CT56" i="1" s="1"/>
  <c r="AY62" i="1"/>
  <c r="AX64" i="1"/>
  <c r="AY61" i="1"/>
  <c r="CJ55" i="1"/>
  <c r="CT55" i="1" s="1"/>
  <c r="T47" i="1"/>
  <c r="BG84" i="1" l="1"/>
  <c r="Q29" i="1" s="1"/>
  <c r="BG33" i="1"/>
  <c r="P27" i="1" s="1"/>
  <c r="CV27" i="1" s="1"/>
  <c r="BG26" i="1"/>
  <c r="P20" i="1" s="1"/>
  <c r="CV20" i="1" s="1"/>
  <c r="BG58" i="1"/>
  <c r="P52" i="1" s="1"/>
  <c r="CV52" i="1" s="1"/>
  <c r="Q41" i="1"/>
  <c r="Q70" i="1"/>
  <c r="BG25" i="1"/>
  <c r="P19" i="1" s="1"/>
  <c r="CV19" i="1" s="1"/>
  <c r="CV21" i="1" s="1"/>
  <c r="CV22" i="1" s="1"/>
  <c r="P22" i="1" s="1"/>
  <c r="BG30" i="1"/>
  <c r="P24" i="1" s="1"/>
  <c r="BG38" i="1"/>
  <c r="P32" i="1" s="1"/>
  <c r="CV32" i="1" s="1"/>
  <c r="BG69" i="1"/>
  <c r="Q37" i="1"/>
  <c r="Q66" i="1"/>
  <c r="Q57" i="1"/>
  <c r="CV24" i="1"/>
  <c r="DJ55" i="1"/>
  <c r="DK55" i="1" s="1"/>
  <c r="DE55" i="1"/>
  <c r="T51" i="1"/>
  <c r="BG42" i="1" l="1"/>
  <c r="P36" i="1" s="1"/>
  <c r="CV36" i="1" s="1"/>
  <c r="BG65" i="1"/>
  <c r="Q63" i="1" s="1"/>
  <c r="CQ63" i="1" s="1"/>
  <c r="CR63" i="1" s="1"/>
  <c r="R63" i="1" s="1"/>
  <c r="BG29" i="1"/>
  <c r="P23" i="1" s="1"/>
  <c r="CV23" i="1" s="1"/>
  <c r="CV25" i="1" s="1"/>
  <c r="CV26" i="1" s="1"/>
  <c r="P26" i="1" s="1"/>
  <c r="Q33" i="1"/>
  <c r="BG70" i="1"/>
  <c r="Q21" i="1"/>
  <c r="BG53" i="1"/>
  <c r="P47" i="1" s="1"/>
  <c r="CV47" i="1" s="1"/>
  <c r="CV49" i="1" s="1"/>
  <c r="CV50" i="1" s="1"/>
  <c r="BG49" i="1"/>
  <c r="P43" i="1" s="1"/>
  <c r="P46" i="1" s="1"/>
  <c r="BG66" i="1"/>
  <c r="Q64" i="1" s="1"/>
  <c r="CQ64" i="1" s="1"/>
  <c r="CR64" i="1" s="1"/>
  <c r="R64" i="1" s="1"/>
  <c r="BG50" i="1"/>
  <c r="P44" i="1" s="1"/>
  <c r="CV44" i="1" s="1"/>
  <c r="BG46" i="1"/>
  <c r="P40" i="1" s="1"/>
  <c r="CV40" i="1" s="1"/>
  <c r="J15" i="1"/>
  <c r="BG34" i="1"/>
  <c r="P28" i="1" s="1"/>
  <c r="CV28" i="1" s="1"/>
  <c r="BG54" i="1"/>
  <c r="P48" i="1" s="1"/>
  <c r="CV48" i="1" s="1"/>
  <c r="Q49" i="1"/>
  <c r="Q45" i="1"/>
  <c r="BG45" i="1"/>
  <c r="P39" i="1" s="1"/>
  <c r="CV39" i="1" s="1"/>
  <c r="CV41" i="1" s="1"/>
  <c r="CV42" i="1" s="1"/>
  <c r="P42" i="1" s="1"/>
  <c r="Q42" i="1" s="1"/>
  <c r="BG61" i="1"/>
  <c r="P55" i="1" s="1"/>
  <c r="CV55" i="1" s="1"/>
  <c r="BG37" i="1"/>
  <c r="P31" i="1" s="1"/>
  <c r="CV31" i="1" s="1"/>
  <c r="CV33" i="1" s="1"/>
  <c r="CV34" i="1" s="1"/>
  <c r="P34" i="1" s="1"/>
  <c r="Q25" i="1"/>
  <c r="BG62" i="1"/>
  <c r="P56" i="1" s="1"/>
  <c r="CV56" i="1" s="1"/>
  <c r="BG41" i="1"/>
  <c r="P35" i="1" s="1"/>
  <c r="CV35" i="1" s="1"/>
  <c r="BG57" i="1"/>
  <c r="P51" i="1" s="1"/>
  <c r="P54" i="1" s="1"/>
  <c r="Q54" i="1" s="1"/>
  <c r="Q53" i="1"/>
  <c r="P58" i="1"/>
  <c r="Q58" i="1" s="1"/>
  <c r="CV43" i="1"/>
  <c r="CV45" i="1" s="1"/>
  <c r="CV46" i="1" s="1"/>
  <c r="CV29" i="1"/>
  <c r="CV30" i="1" s="1"/>
  <c r="P30" i="1" s="1"/>
  <c r="Q30" i="1" s="1"/>
  <c r="CQ19" i="1"/>
  <c r="CR19" i="1" s="1"/>
  <c r="Q19" i="1" s="1"/>
  <c r="BM16" i="1" s="1"/>
  <c r="BO37" i="1"/>
  <c r="BO38" i="1"/>
  <c r="Q46" i="1"/>
  <c r="CQ43" i="1"/>
  <c r="CR43" i="1" s="1"/>
  <c r="Q43" i="1" s="1"/>
  <c r="CV37" i="1"/>
  <c r="CV38" i="1" s="1"/>
  <c r="P38" i="1" s="1"/>
  <c r="T55" i="1"/>
  <c r="CQ27" i="1" l="1"/>
  <c r="CR27" i="1" s="1"/>
  <c r="Q27" i="1" s="1"/>
  <c r="BM18" i="1" s="1"/>
  <c r="BO18" i="1" s="1"/>
  <c r="P50" i="1"/>
  <c r="Q50" i="1" s="1"/>
  <c r="CQ51" i="1"/>
  <c r="CR51" i="1" s="1"/>
  <c r="Q51" i="1" s="1"/>
  <c r="BM24" i="1" s="1"/>
  <c r="CV51" i="1"/>
  <c r="CV53" i="1" s="1"/>
  <c r="CV54" i="1" s="1"/>
  <c r="CV57" i="1"/>
  <c r="CV58" i="1" s="1"/>
  <c r="CQ55" i="1"/>
  <c r="CR55" i="1" s="1"/>
  <c r="Q55" i="1" s="1"/>
  <c r="BM25" i="1" s="1"/>
  <c r="CQ39" i="1"/>
  <c r="CR39" i="1" s="1"/>
  <c r="Q39" i="1" s="1"/>
  <c r="BM21" i="1" s="1"/>
  <c r="U69" i="1"/>
  <c r="U70" i="1" s="1"/>
  <c r="BM22" i="1"/>
  <c r="BQ38" i="1"/>
  <c r="BR38" i="1"/>
  <c r="BS38" i="1"/>
  <c r="BP38" i="1"/>
  <c r="BP37" i="1"/>
  <c r="BS37" i="1"/>
  <c r="BR37" i="1"/>
  <c r="BQ37" i="1"/>
  <c r="CQ35" i="1"/>
  <c r="CR35" i="1" s="1"/>
  <c r="Q35" i="1" s="1"/>
  <c r="Q38" i="1"/>
  <c r="Q34" i="1"/>
  <c r="CQ31" i="1"/>
  <c r="CR31" i="1" s="1"/>
  <c r="Q31" i="1" s="1"/>
  <c r="Q26" i="1"/>
  <c r="CQ23" i="1"/>
  <c r="CR23" i="1" s="1"/>
  <c r="Q23" i="1" s="1"/>
  <c r="BP18" i="1"/>
  <c r="BQ18" i="1"/>
  <c r="BQ16" i="1"/>
  <c r="BN16" i="1"/>
  <c r="BP16" i="1"/>
  <c r="BO16" i="1"/>
  <c r="BM48" i="1"/>
  <c r="BS16" i="1"/>
  <c r="BN18" i="1" l="1"/>
  <c r="BS18" i="1" s="1"/>
  <c r="DQ18" i="1" s="1"/>
  <c r="BM50" i="1"/>
  <c r="CQ47" i="1"/>
  <c r="CR47" i="1" s="1"/>
  <c r="Q47" i="1" s="1"/>
  <c r="BM23" i="1" s="1"/>
  <c r="BP23" i="1" s="1"/>
  <c r="BU38" i="1"/>
  <c r="BW38" i="1" s="1"/>
  <c r="BU37" i="1"/>
  <c r="BW37" i="1" s="1"/>
  <c r="BM17" i="1"/>
  <c r="BN24" i="1"/>
  <c r="BO24" i="1"/>
  <c r="BM56" i="1"/>
  <c r="BQ24" i="1"/>
  <c r="BS24" i="1"/>
  <c r="BX24" i="1" s="1"/>
  <c r="CC24" i="1" s="1"/>
  <c r="BP24" i="1"/>
  <c r="BM19" i="1"/>
  <c r="BM20" i="1"/>
  <c r="BN23" i="1"/>
  <c r="BO23" i="1"/>
  <c r="BS23" i="1"/>
  <c r="BX23" i="1" s="1"/>
  <c r="CC23" i="1" s="1"/>
  <c r="BQ23" i="1"/>
  <c r="BN21" i="1"/>
  <c r="BQ21" i="1"/>
  <c r="BP21" i="1"/>
  <c r="BO21" i="1"/>
  <c r="BS21" i="1"/>
  <c r="BM53" i="1"/>
  <c r="BP25" i="1"/>
  <c r="BO25" i="1"/>
  <c r="BQ25" i="1"/>
  <c r="BN25" i="1"/>
  <c r="BM57" i="1"/>
  <c r="BS25" i="1"/>
  <c r="BX25" i="1" s="1"/>
  <c r="CC25" i="1" s="1"/>
  <c r="BM54" i="1"/>
  <c r="BO22" i="1"/>
  <c r="BQ22" i="1"/>
  <c r="BN22" i="1"/>
  <c r="BS22" i="1"/>
  <c r="BX22" i="1" s="1"/>
  <c r="CC22" i="1" s="1"/>
  <c r="BP22" i="1"/>
  <c r="DQ16" i="1"/>
  <c r="BM55" i="1" l="1"/>
  <c r="R43" i="1"/>
  <c r="R51" i="1"/>
  <c r="R55" i="1"/>
  <c r="R47" i="1"/>
  <c r="BP20" i="1"/>
  <c r="BQ20" i="1"/>
  <c r="BN20" i="1"/>
  <c r="BS20" i="1" s="1"/>
  <c r="BO20" i="1"/>
  <c r="BM52" i="1"/>
  <c r="BN19" i="1"/>
  <c r="BO19" i="1"/>
  <c r="BQ19" i="1"/>
  <c r="BM51" i="1"/>
  <c r="BS19" i="1"/>
  <c r="BP19" i="1"/>
  <c r="BN17" i="1"/>
  <c r="BS17" i="1" s="1"/>
  <c r="BO17" i="1"/>
  <c r="BP17" i="1"/>
  <c r="BM49" i="1"/>
  <c r="BQ17" i="1"/>
  <c r="DH55" i="1"/>
  <c r="DI55" i="1" s="1"/>
  <c r="DL55" i="1" s="1"/>
  <c r="DJ35" i="1"/>
  <c r="DK35" i="1" s="1"/>
  <c r="BM59" i="1" l="1"/>
  <c r="U55" i="1"/>
  <c r="DF51" i="1"/>
  <c r="DF43" i="1"/>
  <c r="DF47" i="1"/>
  <c r="DF55" i="1"/>
  <c r="DQ17" i="1"/>
  <c r="CE24" i="1"/>
  <c r="CD24" i="1"/>
  <c r="CE22" i="1"/>
  <c r="CD22" i="1"/>
  <c r="CD23" i="1"/>
  <c r="CE23" i="1"/>
  <c r="CD25" i="1"/>
  <c r="CE25" i="1"/>
  <c r="CF25" i="1" l="1"/>
  <c r="CG25" i="1" s="1"/>
  <c r="S55" i="1" s="1"/>
  <c r="DG55" i="1" s="1"/>
  <c r="CF23" i="1"/>
  <c r="CG23" i="1" s="1"/>
  <c r="S47" i="1" s="1"/>
  <c r="CF22" i="1"/>
  <c r="CG22" i="1" s="1"/>
  <c r="S43" i="1" s="1"/>
  <c r="DG43" i="1" s="1"/>
  <c r="DH43" i="1" s="1"/>
  <c r="DI43" i="1" s="1"/>
  <c r="DL43" i="1" s="1"/>
  <c r="CF24" i="1"/>
  <c r="CG24" i="1" s="1"/>
  <c r="S51" i="1" s="1"/>
  <c r="K10" i="1"/>
  <c r="BP71" i="1" s="1"/>
  <c r="BO74" i="1" s="1"/>
  <c r="BU74" i="1" s="1"/>
  <c r="U43" i="1" l="1"/>
  <c r="DG47" i="1"/>
  <c r="DH47" i="1" s="1"/>
  <c r="DI47" i="1" s="1"/>
  <c r="DL47" i="1" s="1"/>
  <c r="DG51" i="1"/>
  <c r="DH51" i="1" s="1"/>
  <c r="DI51" i="1" s="1"/>
  <c r="DL51" i="1" s="1"/>
  <c r="BQ76" i="1"/>
  <c r="S14" i="1"/>
  <c r="BX20" i="1" l="1"/>
  <c r="CC20" i="1" s="1"/>
  <c r="BX21" i="1"/>
  <c r="CC21" i="1" s="1"/>
  <c r="BX16" i="1"/>
  <c r="BX18" i="1"/>
  <c r="CC18" i="1" s="1"/>
  <c r="BX17" i="1"/>
  <c r="CC17" i="1" s="1"/>
  <c r="BX19" i="1"/>
  <c r="CC19" i="1" s="1"/>
  <c r="U51" i="1"/>
  <c r="U47" i="1"/>
  <c r="BX40" i="1"/>
  <c r="BY40" i="1" s="1"/>
  <c r="S68" i="1" s="1"/>
  <c r="BW18" i="1" s="1"/>
  <c r="CB18" i="1" s="1"/>
  <c r="EB18" i="1" s="1"/>
  <c r="EF18" i="1" s="1"/>
  <c r="EJ18" i="1" s="1"/>
  <c r="BX39" i="1"/>
  <c r="BY39" i="1" s="1"/>
  <c r="S67" i="1" s="1"/>
  <c r="BV18" i="1" s="1"/>
  <c r="CA18" i="1" s="1"/>
  <c r="EA18" i="1" s="1"/>
  <c r="EE18" i="1" s="1"/>
  <c r="EI18" i="1" s="1"/>
  <c r="H71" i="1"/>
  <c r="BX38" i="1"/>
  <c r="BY38" i="1" s="1"/>
  <c r="S64" i="1" s="1"/>
  <c r="BU17" i="1" s="1"/>
  <c r="BZ17" i="1" s="1"/>
  <c r="DZ17" i="1" s="1"/>
  <c r="ED17" i="1" s="1"/>
  <c r="EH17" i="1" s="1"/>
  <c r="BX37" i="1"/>
  <c r="BY37" i="1" s="1"/>
  <c r="S63" i="1" s="1"/>
  <c r="BT17" i="1" s="1"/>
  <c r="BY17" i="1" s="1"/>
  <c r="DY17" i="1" s="1"/>
  <c r="EC17" i="1" s="1"/>
  <c r="EG17" i="1" s="1"/>
  <c r="R31" i="1" l="1"/>
  <c r="R27" i="1"/>
  <c r="R23" i="1"/>
  <c r="R35" i="1"/>
  <c r="CC16" i="1"/>
  <c r="R19" i="1" s="1"/>
  <c r="R39" i="1"/>
  <c r="CE21" i="1"/>
  <c r="CD21" i="1"/>
  <c r="CD17" i="1"/>
  <c r="BW16" i="1"/>
  <c r="CB16" i="1" s="1"/>
  <c r="EB16" i="1" s="1"/>
  <c r="EF16" i="1" s="1"/>
  <c r="EJ16" i="1" s="1"/>
  <c r="EJ27" i="1" s="1"/>
  <c r="BV16" i="1"/>
  <c r="CA16" i="1" s="1"/>
  <c r="EA16" i="1" s="1"/>
  <c r="EE16" i="1" s="1"/>
  <c r="EI16" i="1" s="1"/>
  <c r="EI27" i="1" s="1"/>
  <c r="BU16" i="1"/>
  <c r="BZ16" i="1" s="1"/>
  <c r="DZ16" i="1" s="1"/>
  <c r="ED16" i="1" s="1"/>
  <c r="EH16" i="1" s="1"/>
  <c r="BU19" i="1"/>
  <c r="BZ19" i="1" s="1"/>
  <c r="DZ19" i="1" s="1"/>
  <c r="ED19" i="1" s="1"/>
  <c r="EH19" i="1" s="1"/>
  <c r="BT16" i="1"/>
  <c r="BY16" i="1" s="1"/>
  <c r="BT19" i="1"/>
  <c r="BY19" i="1" s="1"/>
  <c r="DY19" i="1" s="1"/>
  <c r="EC19" i="1" s="1"/>
  <c r="EG19" i="1" s="1"/>
  <c r="CE19" i="1"/>
  <c r="BU18" i="1"/>
  <c r="BZ18" i="1" s="1"/>
  <c r="DZ18" i="1" s="1"/>
  <c r="ED18" i="1" s="1"/>
  <c r="EH18" i="1" s="1"/>
  <c r="BT18" i="1"/>
  <c r="BY18" i="1" s="1"/>
  <c r="DY18" i="1" s="1"/>
  <c r="EC18" i="1" s="1"/>
  <c r="EG18" i="1" s="1"/>
  <c r="CE17" i="1" l="1"/>
  <c r="CF17" i="1" s="1"/>
  <c r="CG17" i="1" s="1"/>
  <c r="S23" i="1" s="1"/>
  <c r="CE18" i="1"/>
  <c r="DY16" i="1"/>
  <c r="EC16" i="1" s="1"/>
  <c r="EG16" i="1" s="1"/>
  <c r="CD16" i="1"/>
  <c r="CF21" i="1"/>
  <c r="CG21" i="1" s="1"/>
  <c r="S39" i="1" s="1"/>
  <c r="DG39" i="1" s="1"/>
  <c r="DF39" i="1"/>
  <c r="EG27" i="1"/>
  <c r="EH27" i="1"/>
  <c r="CD19" i="1"/>
  <c r="CF19" i="1" s="1"/>
  <c r="CG19" i="1" s="1"/>
  <c r="S31" i="1" s="1"/>
  <c r="CD18" i="1"/>
  <c r="CE16" i="1"/>
  <c r="DF31" i="1"/>
  <c r="DF23" i="1"/>
  <c r="DF27" i="1"/>
  <c r="DF19" i="1"/>
  <c r="CF18" i="1" l="1"/>
  <c r="CG18" i="1" s="1"/>
  <c r="S27" i="1" s="1"/>
  <c r="DH39" i="1"/>
  <c r="DI39" i="1" s="1"/>
  <c r="DL39" i="1" s="1"/>
  <c r="U39" i="1" s="1"/>
  <c r="CF16" i="1"/>
  <c r="CG16" i="1" s="1"/>
  <c r="S19" i="1" s="1"/>
  <c r="DG23" i="1"/>
  <c r="DJ23" i="1" s="1"/>
  <c r="DK23" i="1" s="1"/>
  <c r="DG27" i="1"/>
  <c r="DG31" i="1"/>
  <c r="DG19" i="1" l="1"/>
  <c r="DJ19" i="1" s="1"/>
  <c r="DK19" i="1" s="1"/>
  <c r="DH23" i="1"/>
  <c r="DI23" i="1" s="1"/>
  <c r="DL23" i="1" s="1"/>
  <c r="U23" i="1" s="1"/>
  <c r="DJ31" i="1"/>
  <c r="DK31" i="1" s="1"/>
  <c r="DH31" i="1"/>
  <c r="DI31" i="1" s="1"/>
  <c r="DJ27" i="1"/>
  <c r="DK27" i="1" s="1"/>
  <c r="DH27" i="1"/>
  <c r="DI27" i="1" s="1"/>
  <c r="DH19" i="1" l="1"/>
  <c r="DI19" i="1" s="1"/>
  <c r="DL19" i="1" s="1"/>
  <c r="U19" i="1" s="1"/>
  <c r="DL27" i="1"/>
  <c r="U27" i="1" s="1"/>
  <c r="DL31" i="1"/>
  <c r="U31" i="1" s="1"/>
  <c r="DF35" i="1" l="1"/>
  <c r="DF60" i="1" s="1"/>
  <c r="CE20" i="1"/>
  <c r="CD20" i="1"/>
  <c r="CF20" i="1" l="1"/>
  <c r="CG20" i="1" s="1"/>
  <c r="S35" i="1" s="1"/>
  <c r="DG35" i="1" l="1"/>
  <c r="DH35" i="1" s="1"/>
  <c r="DI35" i="1" s="1"/>
  <c r="DL35" i="1" s="1"/>
  <c r="U35" i="1" l="1"/>
  <c r="DL61" i="1"/>
  <c r="T61" i="1" s="1"/>
</calcChain>
</file>

<file path=xl/comments1.xml><?xml version="1.0" encoding="utf-8"?>
<comments xmlns="http://schemas.openxmlformats.org/spreadsheetml/2006/main">
  <authors>
    <author>john2gre</author>
  </authors>
  <commentList>
    <comment ref="K4" authorId="0">
      <text>
        <r>
          <rPr>
            <b/>
            <sz val="8"/>
            <color indexed="81"/>
            <rFont val="Tahoma"/>
            <family val="2"/>
          </rPr>
          <t>Use Value from MDR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<sst xmlns="http://schemas.openxmlformats.org/spreadsheetml/2006/main" count="976" uniqueCount="466">
  <si>
    <t>SP</t>
  </si>
  <si>
    <t>TH</t>
  </si>
  <si>
    <t>Location</t>
  </si>
  <si>
    <t>Contractor</t>
  </si>
  <si>
    <t>Engineer</t>
  </si>
  <si>
    <t>Mix Design Type</t>
  </si>
  <si>
    <t>Mix Course</t>
  </si>
  <si>
    <t>Course</t>
  </si>
  <si>
    <t>Max. Aggr. Size</t>
  </si>
  <si>
    <t>Traffic</t>
  </si>
  <si>
    <t>Asphalt Binder Grade</t>
  </si>
  <si>
    <t>Shoulder?</t>
  </si>
  <si>
    <t>No</t>
  </si>
  <si>
    <t>Yes</t>
  </si>
  <si>
    <t>Mixture Designation Questions</t>
  </si>
  <si>
    <t>Mixture Design Type</t>
  </si>
  <si>
    <t>Chosen Design Type</t>
  </si>
  <si>
    <t>Text Design Type</t>
  </si>
  <si>
    <t>SP (Gyratory)</t>
  </si>
  <si>
    <t>Chosen Course</t>
  </si>
  <si>
    <t>Chosen Designation</t>
  </si>
  <si>
    <t>NW (Non-Wearing)</t>
  </si>
  <si>
    <t>SHLDR-WE (Shoulder)</t>
  </si>
  <si>
    <t>Maximum Aggregate Size</t>
  </si>
  <si>
    <t>Chosen Aggr. Size</t>
  </si>
  <si>
    <t>Traffic Level (Gyratory)</t>
  </si>
  <si>
    <t>Chosen Traffic Level</t>
  </si>
  <si>
    <t>&lt; 1 [Level 2]</t>
  </si>
  <si>
    <t>1 to &lt; 3 [Level 3]</t>
  </si>
  <si>
    <t>3 to &lt; 10 [Level 4]</t>
  </si>
  <si>
    <t>10 to &lt;= 30 [Level 5]</t>
  </si>
  <si>
    <t>Air Voids</t>
  </si>
  <si>
    <t>Mix Type</t>
  </si>
  <si>
    <t>Chosen Air Voids</t>
  </si>
  <si>
    <t>Asphalt Binder Grades</t>
  </si>
  <si>
    <t>Chosen Binder</t>
  </si>
  <si>
    <t>A = PG 52-34</t>
  </si>
  <si>
    <t>B = PG 58-28</t>
  </si>
  <si>
    <t>C = PG 58-34</t>
  </si>
  <si>
    <t>E = PG 64-28</t>
  </si>
  <si>
    <t>F = PG 64-34</t>
  </si>
  <si>
    <t>H = PG 70-28</t>
  </si>
  <si>
    <t>L = PG 64-22</t>
  </si>
  <si>
    <t>Mix Design Abbreviation</t>
  </si>
  <si>
    <t>SHLDR-NW (Shoulder)</t>
  </si>
  <si>
    <t>WE (Wear)</t>
  </si>
  <si>
    <t>A (1/2 inch)</t>
  </si>
  <si>
    <t>B (3/4 inch)</t>
  </si>
  <si>
    <t>C (1 inch)</t>
  </si>
  <si>
    <t>D (3/8 inch)</t>
  </si>
  <si>
    <t>Chosen Aggr</t>
  </si>
  <si>
    <t>ESALS [Traffic Level]</t>
  </si>
  <si>
    <t>Shoulder</t>
  </si>
  <si>
    <t>4%</t>
  </si>
  <si>
    <t>3%</t>
  </si>
  <si>
    <t>Tons Represented</t>
  </si>
  <si>
    <t>Density Tons</t>
  </si>
  <si>
    <t>Individual Air Voids</t>
  </si>
  <si>
    <t>Individual Gmm</t>
  </si>
  <si>
    <t>Moving Avg. Gmm</t>
  </si>
  <si>
    <t>Date Paved</t>
  </si>
  <si>
    <t>Date Cored</t>
  </si>
  <si>
    <t>Tons or Sq. Yd inch Project</t>
  </si>
  <si>
    <t>Tons</t>
  </si>
  <si>
    <t>Sq Yd inch</t>
  </si>
  <si>
    <t>Chosen Project Type</t>
  </si>
  <si>
    <t>Lot</t>
  </si>
  <si>
    <t>Core #</t>
  </si>
  <si>
    <t>Core</t>
  </si>
  <si>
    <t>Thickness</t>
  </si>
  <si>
    <t>Air Dry</t>
  </si>
  <si>
    <t>(g)</t>
  </si>
  <si>
    <t>(inches)</t>
  </si>
  <si>
    <t>Core +</t>
  </si>
  <si>
    <t>Pan</t>
  </si>
  <si>
    <t>Dry</t>
  </si>
  <si>
    <t>Immersed</t>
  </si>
  <si>
    <t>Weight</t>
  </si>
  <si>
    <t>absorbed</t>
  </si>
  <si>
    <t>Bulk</t>
  </si>
  <si>
    <t>Sp. G</t>
  </si>
  <si>
    <t>used</t>
  </si>
  <si>
    <t>Density</t>
  </si>
  <si>
    <t>Represent</t>
  </si>
  <si>
    <t>Mat</t>
  </si>
  <si>
    <t>Pay</t>
  </si>
  <si>
    <t>Factor</t>
  </si>
  <si>
    <t>MDR #</t>
  </si>
  <si>
    <t>Chosen Shoulder</t>
  </si>
  <si>
    <t>Required # of Lots</t>
  </si>
  <si>
    <t>Max. Density Tons</t>
  </si>
  <si>
    <t>Table 2360-21</t>
  </si>
  <si>
    <t>Number of Lots</t>
  </si>
  <si>
    <t>Min. Daily Tonage</t>
  </si>
  <si>
    <t># of Lots</t>
  </si>
  <si>
    <t>Density, %</t>
  </si>
  <si>
    <t>See Spec</t>
  </si>
  <si>
    <t>SP Shldr</t>
  </si>
  <si>
    <t>4% Void</t>
  </si>
  <si>
    <t>A</t>
  </si>
  <si>
    <t>SP NW</t>
  </si>
  <si>
    <t>SP Shld</t>
  </si>
  <si>
    <t>3% Voids</t>
  </si>
  <si>
    <t>SP WE</t>
  </si>
  <si>
    <t>Table 2360-22 - Mat Density</t>
  </si>
  <si>
    <t>Pay Factor A</t>
  </si>
  <si>
    <t>Void</t>
  </si>
  <si>
    <t>Traffic 2&amp;3</t>
  </si>
  <si>
    <t>Traffic 4&amp;5</t>
  </si>
  <si>
    <t>Table</t>
  </si>
  <si>
    <t>Column</t>
  </si>
  <si>
    <t>Table A</t>
  </si>
  <si>
    <t>Table B</t>
  </si>
  <si>
    <t>1% Reduced</t>
  </si>
  <si>
    <t>Table 2360-23   (1% Reduced)</t>
  </si>
  <si>
    <t>Table C</t>
  </si>
  <si>
    <t>Table D</t>
  </si>
  <si>
    <t>3% Void</t>
  </si>
  <si>
    <t>Table 2360-24 (Longitudinal Joint Density)</t>
  </si>
  <si>
    <t>Density,%</t>
  </si>
  <si>
    <t>B</t>
  </si>
  <si>
    <t>Table E</t>
  </si>
  <si>
    <t>Confined Edge</t>
  </si>
  <si>
    <t>Unconfined Edge</t>
  </si>
  <si>
    <t>Table F</t>
  </si>
  <si>
    <t>Table G</t>
  </si>
  <si>
    <t>Table H</t>
  </si>
  <si>
    <t>Contr. QC</t>
  </si>
  <si>
    <t>Agency QA</t>
  </si>
  <si>
    <t>Lots</t>
  </si>
  <si>
    <t>LJD</t>
  </si>
  <si>
    <t>Incentive</t>
  </si>
  <si>
    <t>Disincentive</t>
  </si>
  <si>
    <t>% of Gmm</t>
  </si>
  <si>
    <t>Coarse/Fine Mixture Determination</t>
  </si>
  <si>
    <t>User</t>
  </si>
  <si>
    <t>Input</t>
  </si>
  <si>
    <t>Table 2360-8</t>
  </si>
  <si>
    <t>Gradation</t>
  </si>
  <si>
    <t>Coarse</t>
  </si>
  <si>
    <t>Fine</t>
  </si>
  <si>
    <t>% Passing</t>
  </si>
  <si>
    <t>C</t>
  </si>
  <si>
    <t>= Avg. Gmb</t>
  </si>
  <si>
    <t>Used</t>
  </si>
  <si>
    <t>"A"</t>
  </si>
  <si>
    <t>Total</t>
  </si>
  <si>
    <t>Bulk Specific Gravity Tolerance Comparison</t>
  </si>
  <si>
    <t>QC/QA</t>
  </si>
  <si>
    <t>Gmb</t>
  </si>
  <si>
    <t>number of cores (n)==&gt;</t>
  </si>
  <si>
    <t>Air Void Determination</t>
  </si>
  <si>
    <t>Sample Number</t>
  </si>
  <si>
    <t>Sample Tons</t>
  </si>
  <si>
    <t>Test #</t>
  </si>
  <si>
    <t>Air Void</t>
  </si>
  <si>
    <t>Ind. Max. SG</t>
  </si>
  <si>
    <t>Mov Avg Mx SG</t>
  </si>
  <si>
    <t># of daily values</t>
  </si>
  <si>
    <t>Gmm Used</t>
  </si>
  <si>
    <t>Per 2360.3.D.1.d "Determination"</t>
  </si>
  <si>
    <t>1 test = bf21, 2 tests = bg21, else average of all individual Gmm for the day</t>
  </si>
  <si>
    <t>2360.3.D.1.d</t>
  </si>
  <si>
    <t>2360.3.D.1.k</t>
  </si>
  <si>
    <t>2360.3.D.1.q</t>
  </si>
  <si>
    <t>2360.3.D.1.g</t>
  </si>
  <si>
    <t>Sample</t>
  </si>
  <si>
    <t>&lt;===</t>
  </si>
  <si>
    <t>1 % Reduced Density Project?</t>
  </si>
  <si>
    <t>Chosen 1% Reduced</t>
  </si>
  <si>
    <t>Type of LJD Joint</t>
  </si>
  <si>
    <t>No Core</t>
  </si>
  <si>
    <t>Unconfined</t>
  </si>
  <si>
    <t>Confined</t>
  </si>
  <si>
    <t>1st LJD</t>
  </si>
  <si>
    <t>Integer</t>
  </si>
  <si>
    <t>of Mat</t>
  </si>
  <si>
    <t>Left</t>
  </si>
  <si>
    <t>Core ID</t>
  </si>
  <si>
    <t>Right</t>
  </si>
  <si>
    <t>contractor</t>
  </si>
  <si>
    <t>Agency</t>
  </si>
  <si>
    <t xml:space="preserve">Check to </t>
  </si>
  <si>
    <t>see if</t>
  </si>
  <si>
    <t>Mat Core</t>
  </si>
  <si>
    <t>XX.1 or XX.2</t>
  </si>
  <si>
    <t>Calculation</t>
  </si>
  <si>
    <t>Long. Joint Density Project?</t>
  </si>
  <si>
    <t>Chosen (Is it a LJD Project)</t>
  </si>
  <si>
    <t># of Over-ride lots</t>
  </si>
  <si>
    <t># of Lots required for calcs.</t>
  </si>
  <si>
    <t>Edge</t>
  </si>
  <si>
    <t>Mat Pay Factor Determination Table</t>
  </si>
  <si>
    <t>Traffic Level</t>
  </si>
  <si>
    <t>Traffic Level Column</t>
  </si>
  <si>
    <t>Longitudinal Joint Density Pay Factor Determination Table</t>
  </si>
  <si>
    <t>Type of</t>
  </si>
  <si>
    <t>(Conf, Unconf, No Core)</t>
  </si>
  <si>
    <t>for</t>
  </si>
  <si>
    <t>Evaluation</t>
  </si>
  <si>
    <t>Longitudinal Joint Density Lots</t>
  </si>
  <si>
    <t xml:space="preserve"># of </t>
  </si>
  <si>
    <t>tons</t>
  </si>
  <si>
    <t># of</t>
  </si>
  <si>
    <t>Is it a</t>
  </si>
  <si>
    <t>Project?</t>
  </si>
  <si>
    <t>2360.3.D.1.n</t>
  </si>
  <si>
    <t>Is there</t>
  </si>
  <si>
    <t>"No Core"</t>
  </si>
  <si>
    <t>so Pay</t>
  </si>
  <si>
    <t>should</t>
  </si>
  <si>
    <t>be blank</t>
  </si>
  <si>
    <t>Final</t>
  </si>
  <si>
    <t>LJD Lots to Associate with Mat Lots</t>
  </si>
  <si>
    <t>1st</t>
  </si>
  <si>
    <t>2nd</t>
  </si>
  <si>
    <t>ID</t>
  </si>
  <si>
    <t>of Core</t>
  </si>
  <si>
    <t>LJD Lot</t>
  </si>
  <si>
    <t xml:space="preserve">2nd </t>
  </si>
  <si>
    <t>if</t>
  </si>
  <si>
    <t>AxBxC</t>
  </si>
  <si>
    <t>Check</t>
  </si>
  <si>
    <t>1% reduced</t>
  </si>
  <si>
    <t>1% reduced?</t>
  </si>
  <si>
    <t>Before</t>
  </si>
  <si>
    <t>reduced</t>
  </si>
  <si>
    <t>check</t>
  </si>
  <si>
    <t>Minimum Density Required</t>
  </si>
  <si>
    <t>Are all &lt; Min Req Density?</t>
  </si>
  <si>
    <t>2360.3.D.1.f</t>
  </si>
  <si>
    <t>See Table 2360-21</t>
  </si>
  <si>
    <t>Tol. Check</t>
  </si>
  <si>
    <t>QC or QA</t>
  </si>
  <si>
    <t>QC</t>
  </si>
  <si>
    <t>QA</t>
  </si>
  <si>
    <t>Contractors Daily Avg. Gmb =&gt;</t>
  </si>
  <si>
    <t>Agency Daily Avg. Gmb ==============&gt;</t>
  </si>
  <si>
    <t>Day's Shrinking Tolerance ==&gt;</t>
  </si>
  <si>
    <t>Inputted</t>
  </si>
  <si>
    <t>Tolerance:</t>
  </si>
  <si>
    <t>ang agency</t>
  </si>
  <si>
    <t>core to</t>
  </si>
  <si>
    <t>check tol.</t>
  </si>
  <si>
    <t>Which</t>
  </si>
  <si>
    <t>Core was</t>
  </si>
  <si>
    <t>used after</t>
  </si>
  <si>
    <t>?</t>
  </si>
  <si>
    <t>If no</t>
  </si>
  <si>
    <t>agency</t>
  </si>
  <si>
    <t>replacement</t>
  </si>
  <si>
    <t>for Contr</t>
  </si>
  <si>
    <t>out of Tol.</t>
  </si>
  <si>
    <t>Contr. Gmb</t>
  </si>
  <si>
    <t>Agncy. Gmb</t>
  </si>
  <si>
    <t>Difference between Contractor and Agency Cores =====&gt;</t>
  </si>
  <si>
    <t>Absolute Value of Contractor Agency Difference ======&gt;</t>
  </si>
  <si>
    <t>Use all the Departments Cores if Difference exceed Day's Shrinking Tolerance? ======&gt;</t>
  </si>
  <si>
    <t>cores</t>
  </si>
  <si>
    <t>to use</t>
  </si>
  <si>
    <t>after</t>
  </si>
  <si>
    <t>shrinking</t>
  </si>
  <si>
    <t>Table 2360-22 &amp; 2360-23</t>
  </si>
  <si>
    <t>Table 2360-24 &amp; 2360-25</t>
  </si>
  <si>
    <t>Day's Weighted Average Air Void Check</t>
  </si>
  <si>
    <t>Design Air Voids</t>
  </si>
  <si>
    <t>Required Air Void</t>
  </si>
  <si>
    <t>Is Day's Weighted Avg. Air Void &lt; Required Air Void?  =====&gt;</t>
  </si>
  <si>
    <t>Footnote on Tables 2360-22, 2360-24, 2360-25</t>
  </si>
  <si>
    <t>Before Air Void Check</t>
  </si>
  <si>
    <t>Pay Factor Tables</t>
  </si>
  <si>
    <t>Change to</t>
  </si>
  <si>
    <t>1.0 Pay</t>
  </si>
  <si>
    <t>After Void</t>
  </si>
  <si>
    <t xml:space="preserve">Is it </t>
  </si>
  <si>
    <t xml:space="preserve">out of </t>
  </si>
  <si>
    <t>range</t>
  </si>
  <si>
    <t>(XX.1 or XX.2)</t>
  </si>
  <si>
    <t>LJD Core ID Determination &amp; If Core ID is not XX.1 or XX.2</t>
  </si>
  <si>
    <t>Plant:</t>
  </si>
  <si>
    <t>if Day's Avg. Air Void</t>
  </si>
  <si>
    <t>Low</t>
  </si>
  <si>
    <t>Final/ 1% Reduced Density Check</t>
  </si>
  <si>
    <t>Type of Project</t>
  </si>
  <si>
    <t>S.P.</t>
  </si>
  <si>
    <t>S.A.P</t>
  </si>
  <si>
    <t>C.P.</t>
  </si>
  <si>
    <t>Roadway Type</t>
  </si>
  <si>
    <t>CSAH</t>
  </si>
  <si>
    <t>CR</t>
  </si>
  <si>
    <t>1% Reduced Prjct?</t>
  </si>
  <si>
    <t>Long. Jnt. Density?</t>
  </si>
  <si>
    <t>Plant Mixed Asphalt Pavement (Mn/DOT Specification 2360) Density Incentive/Disincentive Worksheet</t>
  </si>
  <si>
    <t>Lots Required:</t>
  </si>
  <si>
    <t>Over-ride # of Lots:</t>
  </si>
  <si>
    <t>Tons/Lot:</t>
  </si>
  <si>
    <t>Average Gmm ===&gt;</t>
  </si>
  <si>
    <t>Design Air Voids:</t>
  </si>
  <si>
    <t>Min. Air Voids:</t>
  </si>
  <si>
    <t>Day's Weighted Avg. Air Void:</t>
  </si>
  <si>
    <t>Tons or Sq Yd in. Prjct?</t>
  </si>
  <si>
    <t>SSD</t>
  </si>
  <si>
    <t>% water</t>
  </si>
  <si>
    <t>Gmb/</t>
  </si>
  <si>
    <t>Bulk Sp. G</t>
  </si>
  <si>
    <t>Lot Avg.</t>
  </si>
  <si>
    <t>(% of Gmm)</t>
  </si>
  <si>
    <t>Mat Pay</t>
  </si>
  <si>
    <t>Net Inc./Disinc.</t>
  </si>
  <si>
    <t>Notes:</t>
  </si>
  <si>
    <t>Info:</t>
  </si>
  <si>
    <t>AASHTO Rounding</t>
  </si>
  <si>
    <t>Raw</t>
  </si>
  <si>
    <t>AASHTO</t>
  </si>
  <si>
    <t>Rounded</t>
  </si>
  <si>
    <t>if 1% Reduced</t>
  </si>
  <si>
    <t>Chosen</t>
  </si>
  <si>
    <t>Contr.</t>
  </si>
  <si>
    <t>Total number of comparison cores for the day ===&gt;</t>
  </si>
  <si>
    <t>Avg. Gmb</t>
  </si>
  <si>
    <t>Rounded Avg. Gmb</t>
  </si>
  <si>
    <t>Number</t>
  </si>
  <si>
    <t>Text</t>
  </si>
  <si>
    <t>Values</t>
  </si>
  <si>
    <t>Max./Total Ratio:</t>
  </si>
  <si>
    <t>Rounded Weighted Avg. Air Void ===&gt;</t>
  </si>
  <si>
    <t>Raw Day's Weighted Avg. Air Void ===&gt;</t>
  </si>
  <si>
    <t>Tons to use for calculations (Tons or Sq Yd inch)</t>
  </si>
  <si>
    <t>Project Type:</t>
  </si>
  <si>
    <t>if tons</t>
  </si>
  <si>
    <t>if Sq Yd inch</t>
  </si>
  <si>
    <t>Calc.</t>
  </si>
  <si>
    <t>User Entered</t>
  </si>
  <si>
    <t>Override</t>
  </si>
  <si>
    <t>Spreadsheet tons</t>
  </si>
  <si>
    <t>used for calc.</t>
  </si>
  <si>
    <t>if Sq Yd inch project</t>
  </si>
  <si>
    <t>Which tons is used "Tons" or "Sq Yd inch"</t>
  </si>
  <si>
    <t>Avg. Density</t>
  </si>
  <si>
    <r>
      <t>lb/yd</t>
    </r>
    <r>
      <rPr>
        <vertAlign val="superscript"/>
        <sz val="8"/>
        <color theme="1"/>
        <rFont val="Calibri"/>
        <family val="2"/>
        <scheme val="minor"/>
      </rPr>
      <t>2</t>
    </r>
    <r>
      <rPr>
        <sz val="8"/>
        <color theme="1"/>
        <rFont val="Calibri"/>
        <family val="2"/>
        <scheme val="minor"/>
      </rPr>
      <t xml:space="preserve"> in.</t>
    </r>
  </si>
  <si>
    <t>Daily Core Characteristics</t>
  </si>
  <si>
    <t>Sq. Yd Inch Calculations:</t>
  </si>
  <si>
    <t>Day's Average Gmm</t>
  </si>
  <si>
    <t>Conversion Factor</t>
  </si>
  <si>
    <t>Compaction</t>
  </si>
  <si>
    <t>Tons/Lot =======&gt;</t>
  </si>
  <si>
    <t>Tons/Lot (Rounded)</t>
  </si>
  <si>
    <t>Incentive/Disincentive Calculation</t>
  </si>
  <si>
    <t>Ton or Sq. Yd inch project?</t>
  </si>
  <si>
    <t>per lot</t>
  </si>
  <si>
    <t xml:space="preserve">What to </t>
  </si>
  <si>
    <t>put in</t>
  </si>
  <si>
    <t>quanity</t>
  </si>
  <si>
    <t>column</t>
  </si>
  <si>
    <t>S19:S58</t>
  </si>
  <si>
    <t>Incentive/</t>
  </si>
  <si>
    <t>$</t>
  </si>
  <si>
    <t>Not rounded</t>
  </si>
  <si>
    <t>Sq. Yd</t>
  </si>
  <si>
    <t>Total Incentive/Disincentive&gt;</t>
  </si>
  <si>
    <t>Minimum Required Density</t>
  </si>
  <si>
    <t>Voids</t>
  </si>
  <si>
    <t>Min. Mat Density Requirement</t>
  </si>
  <si>
    <t>Min LJD Requirement (Confined)</t>
  </si>
  <si>
    <t>Min LJD Requirement (Unconfined)</t>
  </si>
  <si>
    <t>Min. Confined LJD Required:</t>
  </si>
  <si>
    <t>Min. Unconfined LJD Required:</t>
  </si>
  <si>
    <t>Min.Mat Density Reqrd:</t>
  </si>
  <si>
    <t>Revision:</t>
  </si>
  <si>
    <t>Date:</t>
  </si>
  <si>
    <t>Problem:</t>
  </si>
  <si>
    <t>Lot size determination is not calculating correctly.</t>
  </si>
  <si>
    <t>Solution:</t>
  </si>
  <si>
    <t>Fixed lot determination table (AI 26:39)</t>
  </si>
  <si>
    <t xml:space="preserve">Cells I9 to S9 are not calculating correcting.  </t>
  </si>
  <si>
    <t>Fixed Formula (Tons Represented)</t>
  </si>
  <si>
    <t>Problem</t>
  </si>
  <si>
    <t>Solution</t>
  </si>
  <si>
    <t>Merged I &amp; J 204/205 to provide enough room for Date to display</t>
  </si>
  <si>
    <t>Cell I 204/205 were not large enough to display date.  Showed up as #######</t>
  </si>
  <si>
    <t>Tons Represented to calculate day's weighted average if doing a sq. yd. in. project was using P3 as tons even though it was either tons and sq. yd. in. value</t>
  </si>
  <si>
    <t>Changed cells H9:S9, P$3 (tons or sq. yd. in.) to $AI$88 (tons, no matter the type of project)</t>
  </si>
  <si>
    <t>Names were not being copied from input spreadsheet to printed spreadsheet</t>
  </si>
  <si>
    <t xml:space="preserve">Changed cells t255:t256, was changed from U148:U149 to t72:t73 </t>
  </si>
  <si>
    <t>Total Daily Tonage Calc.</t>
  </si>
  <si>
    <t>from Total Sq. Yd. In. paved.</t>
  </si>
  <si>
    <t>Tons or Sq. Yd. in.=</t>
  </si>
  <si>
    <t>Total Sq. Yd. paved=</t>
  </si>
  <si>
    <t>Thickness =</t>
  </si>
  <si>
    <t>conversion value =</t>
  </si>
  <si>
    <t>Standard</t>
  </si>
  <si>
    <t>(lb/yd^2 inch)</t>
  </si>
  <si>
    <t>Calculated total</t>
  </si>
  <si>
    <t>Total Tons</t>
  </si>
  <si>
    <t xml:space="preserve">Produced = </t>
  </si>
  <si>
    <t>Total Tons used to calculate</t>
  </si>
  <si>
    <t xml:space="preserve">Daily Tonnage = </t>
  </si>
  <si>
    <t>(tons)</t>
  </si>
  <si>
    <t>If only on LJD core was taken, the total pay factor would not calculate</t>
  </si>
  <si>
    <t>Added logic to cells CC16:CD25 to calculate the total pay factor if only one core was taken for LJD, instead of the normal two (one on each side of the mat)</t>
  </si>
  <si>
    <t>LJD density core pay factors pay factors were were determined off of the selection in $BU$37 instead of using $BU$37 to $BU$40 as appropriate for each side of the mat.</t>
  </si>
  <si>
    <t>Changed formula in $BU$38 to $BU$40 to be row approprite (BU38 for row 38, BU39 for row 39, BU40 to row 40) This will choose the correct pay factor table for each side of the mat.</t>
  </si>
  <si>
    <t>Individual and Moving Average Gmm field were not formatted to 0.001</t>
  </si>
  <si>
    <t>Formatted cells H12:S13 to thousands place</t>
  </si>
  <si>
    <t>Text box was formatted as individual rows.  Users would like it to be all one text box that will wrap.</t>
  </si>
  <si>
    <t>Formatted Text box as one merged cell that will wrap the text</t>
  </si>
  <si>
    <t>Comment Field was not formatted correctly</t>
  </si>
  <si>
    <t>Formatted Comment Field in Printing cells</t>
  </si>
  <si>
    <t>Update for 2012</t>
  </si>
  <si>
    <t>Updated dates and formatted incentive/disincentive dollar/lot to font = 10 (column U)</t>
  </si>
  <si>
    <t>Updated Formatting so printing will be on one sheet</t>
  </si>
  <si>
    <t>Any</t>
  </si>
  <si>
    <t>less</t>
  </si>
  <si>
    <t xml:space="preserve">than </t>
  </si>
  <si>
    <t>Will</t>
  </si>
  <si>
    <t>Engr</t>
  </si>
  <si>
    <t>Accept</t>
  </si>
  <si>
    <t xml:space="preserve">Mix to </t>
  </si>
  <si>
    <t>Remain</t>
  </si>
  <si>
    <t>@ 50%</t>
  </si>
  <si>
    <t>if all</t>
  </si>
  <si>
    <t>in lot</t>
  </si>
  <si>
    <t>&gt;= 87%</t>
  </si>
  <si>
    <t>Lot Pay</t>
  </si>
  <si>
    <t>Any mat core &lt; 87%?</t>
  </si>
  <si>
    <t>Drop Down</t>
  </si>
  <si>
    <t>List for Cells V19:55</t>
  </si>
  <si>
    <t>Table 2360-22&amp;23 Footnote Pay Factor Determination</t>
  </si>
  <si>
    <t>Determination</t>
  </si>
  <si>
    <t>if Core</t>
  </si>
  <si>
    <t>Contribution of Longitudinal Joints Cores to Total Pay Factor</t>
  </si>
  <si>
    <t>2nd LJD</t>
  </si>
  <si>
    <t>Any lots Rem/Repl?</t>
  </si>
  <si>
    <t>Ton/Lot</t>
  </si>
  <si>
    <t>Price/Ton of Mix</t>
  </si>
  <si>
    <t>Factor -1</t>
  </si>
  <si>
    <t>XX.3</t>
  </si>
  <si>
    <t>XX.4</t>
  </si>
  <si>
    <t>Added logic to include the calculation of the pay factor if a core is &lt; 89% and payment is specified under the footnote in Table 2360-23&amp;24</t>
  </si>
  <si>
    <t>(This added a determination if the lot would be accepted at 50% pay or removed and replaced based on the decision of the Engineer)</t>
  </si>
  <si>
    <t>Added logic so sheet total inc/dis will not calculate if an individual lot is under remove and replacement.</t>
  </si>
  <si>
    <t>Contribution</t>
  </si>
  <si>
    <t>Requested by Jeff Long - D2, but not implemented</t>
  </si>
  <si>
    <t>Displayed 7 of 10 lots the spreadsheet is calculating.</t>
  </si>
  <si>
    <t>&lt; 89%</t>
  </si>
  <si>
    <t>CC17:CC25 had incorrect reference for pay factor if core was &lt; 89%.</t>
  </si>
  <si>
    <t>I= PG 70-34</t>
  </si>
  <si>
    <t>M = PG 49-34</t>
  </si>
  <si>
    <t>Added I (PG 70-34) and M (PG 49-34) to AC binder choices</t>
  </si>
  <si>
    <t>Changed date in J2 from "2013" to "2013/2014".  No spec changes for 2014.</t>
  </si>
  <si>
    <t>Cell AC50 was editted so "L" oil would calculate correctly</t>
  </si>
  <si>
    <t>Specification Year 2015</t>
  </si>
  <si>
    <t>No revisions, just updated date to 2015.</t>
  </si>
  <si>
    <t>QC By:</t>
  </si>
  <si>
    <t>QA By:</t>
  </si>
  <si>
    <t>Field Check By:</t>
  </si>
  <si>
    <t>E = PG 64-28 (PMB)</t>
  </si>
  <si>
    <t>F = PG 64-34 (PMB)</t>
  </si>
  <si>
    <t>H = PG 70-28 (PMB)</t>
  </si>
  <si>
    <t>C = PG 58-34 (PMB)</t>
  </si>
  <si>
    <t>Added Polymer Modified Binders to Binder List (Z50:Z62)</t>
  </si>
  <si>
    <t>% Passing #4 Sieve:</t>
  </si>
  <si>
    <t>Ver:09June2015</t>
  </si>
  <si>
    <t xml:space="preserve">Date: </t>
  </si>
  <si>
    <t>Fixed text for % passing #4 sieve (per 2360.3.D.1.d) - Was #8, changed to #4.</t>
  </si>
  <si>
    <t>#4 Sieve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</si>
</sst>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0.0"/>
    <numFmt numFmtId="165" formatCode="&quot;$&quot;#,##0.00"/>
    <numFmt numFmtId="166" formatCode="0.000"/>
    <numFmt numFmtId="167" formatCode="0.0000"/>
  </numFmts>
  <fonts count="34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color indexed="8"/>
      <name val="Calibri"/>
      <family val="2"/>
    </font>
    <font>
      <b/>
      <sz val="14"/>
      <color indexed="8"/>
      <name val="Calibri"/>
      <family val="2"/>
    </font>
    <font>
      <b/>
      <sz val="9"/>
      <color indexed="8"/>
      <name val="Calibri"/>
      <family val="2"/>
    </font>
    <font>
      <b/>
      <sz val="12"/>
      <name val="Arial"/>
      <family val="2"/>
    </font>
    <font>
      <b/>
      <sz val="12"/>
      <color indexed="10"/>
      <name val="Calibri"/>
      <family val="2"/>
    </font>
    <font>
      <b/>
      <sz val="12"/>
      <color indexed="8"/>
      <name val="Calibri"/>
      <family val="2"/>
    </font>
    <font>
      <sz val="18"/>
      <color indexed="8"/>
      <name val="Calibri"/>
      <family val="2"/>
    </font>
    <font>
      <b/>
      <sz val="10"/>
      <color indexed="8"/>
      <name val="Calibri"/>
      <family val="2"/>
    </font>
    <font>
      <sz val="10"/>
      <color indexed="8"/>
      <name val="Calibri"/>
      <family val="2"/>
    </font>
    <font>
      <b/>
      <sz val="10"/>
      <name val="Calibri"/>
      <family val="2"/>
    </font>
    <font>
      <sz val="14"/>
      <color indexed="8"/>
      <name val="Calibri"/>
      <family val="2"/>
    </font>
    <font>
      <sz val="8"/>
      <name val="Calibri"/>
      <family val="2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sz val="10"/>
      <name val="Calibri"/>
      <family val="2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b/>
      <sz val="11"/>
      <color theme="0"/>
      <name val="Calibri"/>
      <family val="2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vertAlign val="superscript"/>
      <sz val="8"/>
      <color theme="1"/>
      <name val="Calibri"/>
      <family val="2"/>
      <scheme val="minor"/>
    </font>
    <font>
      <u/>
      <sz val="8"/>
      <color theme="1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9"/>
      <color rgb="FFFF0000"/>
      <name val="Calibri"/>
      <family val="2"/>
      <scheme val="minor"/>
    </font>
    <font>
      <b/>
      <sz val="14"/>
      <name val="Calibri"/>
      <family val="2"/>
    </font>
    <font>
      <b/>
      <sz val="16"/>
      <color indexed="8"/>
      <name val="Calibri"/>
      <family val="2"/>
    </font>
    <font>
      <sz val="14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</fonts>
  <fills count="27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39997558519241921"/>
        <bgColor indexed="64"/>
      </patternFill>
    </fill>
  </fills>
  <borders count="40">
    <border>
      <left/>
      <right/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31">
    <xf numFmtId="0" fontId="0" fillId="0" borderId="0" xfId="0"/>
    <xf numFmtId="0" fontId="0" fillId="2" borderId="0" xfId="0" applyFill="1"/>
    <xf numFmtId="0" fontId="3" fillId="3" borderId="0" xfId="0" applyFont="1" applyFill="1" applyBorder="1" applyAlignment="1" applyProtection="1">
      <alignment horizontal="center"/>
    </xf>
    <xf numFmtId="164" fontId="3" fillId="3" borderId="0" xfId="0" applyNumberFormat="1" applyFont="1" applyFill="1" applyBorder="1" applyAlignment="1" applyProtection="1">
      <alignment horizontal="center"/>
    </xf>
    <xf numFmtId="0" fontId="3" fillId="3" borderId="0" xfId="0" applyFont="1" applyFill="1" applyBorder="1" applyProtection="1"/>
    <xf numFmtId="0" fontId="3" fillId="0" borderId="0" xfId="0" applyFont="1" applyBorder="1" applyProtection="1"/>
    <xf numFmtId="0" fontId="3" fillId="0" borderId="0" xfId="0" applyFont="1" applyBorder="1" applyAlignment="1" applyProtection="1">
      <alignment horizontal="center"/>
    </xf>
    <xf numFmtId="0" fontId="3" fillId="3" borderId="0" xfId="0" applyFont="1" applyFill="1" applyAlignment="1" applyProtection="1">
      <alignment horizontal="center"/>
    </xf>
    <xf numFmtId="0" fontId="3" fillId="3" borderId="0" xfId="0" applyNumberFormat="1" applyFont="1" applyFill="1" applyBorder="1" applyAlignment="1" applyProtection="1">
      <alignment horizontal="center"/>
    </xf>
    <xf numFmtId="0" fontId="3" fillId="3" borderId="0" xfId="0" applyFont="1" applyFill="1" applyProtection="1"/>
    <xf numFmtId="164" fontId="3" fillId="3" borderId="0" xfId="0" applyNumberFormat="1" applyFont="1" applyFill="1" applyAlignment="1" applyProtection="1">
      <alignment horizontal="center"/>
    </xf>
    <xf numFmtId="10" fontId="3" fillId="3" borderId="0" xfId="0" applyNumberFormat="1" applyFont="1" applyFill="1" applyBorder="1" applyAlignment="1" applyProtection="1">
      <alignment horizontal="center"/>
    </xf>
    <xf numFmtId="0" fontId="2" fillId="3" borderId="0" xfId="0" applyFont="1" applyFill="1" applyProtection="1"/>
    <xf numFmtId="0" fontId="4" fillId="0" borderId="0" xfId="0" applyFont="1"/>
    <xf numFmtId="9" fontId="3" fillId="3" borderId="0" xfId="0" quotePrefix="1" applyNumberFormat="1" applyFont="1" applyFill="1" applyBorder="1" applyAlignment="1" applyProtection="1">
      <alignment horizontal="center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0" xfId="0" applyBorder="1"/>
    <xf numFmtId="0" fontId="0" fillId="0" borderId="5" xfId="0" applyBorder="1"/>
    <xf numFmtId="164" fontId="0" fillId="0" borderId="0" xfId="0" applyNumberFormat="1" applyBorder="1"/>
    <xf numFmtId="0" fontId="4" fillId="0" borderId="4" xfId="0" applyFont="1" applyBorder="1"/>
    <xf numFmtId="0" fontId="4" fillId="0" borderId="0" xfId="0" applyFont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4" fillId="0" borderId="5" xfId="0" applyFont="1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0" xfId="0" quotePrefix="1" applyBorder="1"/>
    <xf numFmtId="0" fontId="0" fillId="0" borderId="13" xfId="0" quotePrefix="1" applyBorder="1"/>
    <xf numFmtId="0" fontId="0" fillId="0" borderId="14" xfId="0" applyBorder="1"/>
    <xf numFmtId="0" fontId="0" fillId="0" borderId="15" xfId="0" applyBorder="1"/>
    <xf numFmtId="0" fontId="6" fillId="0" borderId="6" xfId="0" applyFont="1" applyBorder="1"/>
    <xf numFmtId="0" fontId="4" fillId="0" borderId="7" xfId="0" applyFont="1" applyBorder="1"/>
    <xf numFmtId="0" fontId="4" fillId="0" borderId="8" xfId="0" applyFont="1" applyBorder="1"/>
    <xf numFmtId="0" fontId="4" fillId="0" borderId="1" xfId="0" applyFont="1" applyBorder="1"/>
    <xf numFmtId="0" fontId="0" fillId="0" borderId="0" xfId="0" applyFill="1" applyBorder="1"/>
    <xf numFmtId="0" fontId="4" fillId="0" borderId="0" xfId="0" applyFont="1" applyFill="1" applyBorder="1"/>
    <xf numFmtId="0" fontId="0" fillId="0" borderId="16" xfId="0" applyBorder="1"/>
    <xf numFmtId="9" fontId="0" fillId="0" borderId="0" xfId="0" applyNumberFormat="1" applyBorder="1"/>
    <xf numFmtId="0" fontId="4" fillId="0" borderId="12" xfId="0" applyFont="1" applyBorder="1"/>
    <xf numFmtId="0" fontId="0" fillId="4" borderId="0" xfId="0" applyFill="1"/>
    <xf numFmtId="0" fontId="7" fillId="5" borderId="0" xfId="0" applyFont="1" applyFill="1" applyBorder="1" applyProtection="1"/>
    <xf numFmtId="0" fontId="3" fillId="5" borderId="0" xfId="0" applyFont="1" applyFill="1" applyBorder="1" applyAlignment="1" applyProtection="1">
      <alignment horizontal="center"/>
    </xf>
    <xf numFmtId="164" fontId="3" fillId="5" borderId="0" xfId="0" applyNumberFormat="1" applyFont="1" applyFill="1" applyBorder="1" applyAlignment="1" applyProtection="1">
      <alignment horizontal="center"/>
    </xf>
    <xf numFmtId="0" fontId="3" fillId="2" borderId="0" xfId="0" applyFont="1" applyFill="1" applyBorder="1" applyAlignment="1" applyProtection="1">
      <alignment horizontal="center"/>
    </xf>
    <xf numFmtId="0" fontId="2" fillId="2" borderId="0" xfId="0" applyFont="1" applyFill="1" applyBorder="1" applyProtection="1"/>
    <xf numFmtId="0" fontId="3" fillId="2" borderId="0" xfId="0" applyFont="1" applyFill="1" applyBorder="1" applyProtection="1"/>
    <xf numFmtId="164" fontId="2" fillId="2" borderId="0" xfId="0" applyNumberFormat="1" applyFont="1" applyFill="1" applyBorder="1" applyAlignment="1" applyProtection="1">
      <alignment horizontal="center"/>
    </xf>
    <xf numFmtId="0" fontId="2" fillId="2" borderId="0" xfId="0" applyFont="1" applyFill="1" applyBorder="1" applyAlignment="1" applyProtection="1">
      <alignment horizontal="center"/>
    </xf>
    <xf numFmtId="0" fontId="2" fillId="4" borderId="0" xfId="0" applyFont="1" applyFill="1" applyBorder="1" applyAlignment="1" applyProtection="1">
      <alignment horizontal="center"/>
    </xf>
    <xf numFmtId="0" fontId="3" fillId="4" borderId="0" xfId="0" applyFont="1" applyFill="1" applyBorder="1" applyAlignment="1" applyProtection="1">
      <alignment horizontal="center"/>
    </xf>
    <xf numFmtId="164" fontId="2" fillId="4" borderId="0" xfId="0" applyNumberFormat="1" applyFont="1" applyFill="1" applyBorder="1" applyAlignment="1" applyProtection="1">
      <alignment horizontal="center"/>
    </xf>
    <xf numFmtId="0" fontId="0" fillId="6" borderId="0" xfId="0" applyFill="1"/>
    <xf numFmtId="0" fontId="2" fillId="6" borderId="0" xfId="0" applyFont="1" applyFill="1" applyBorder="1" applyAlignment="1" applyProtection="1">
      <alignment horizontal="center"/>
    </xf>
    <xf numFmtId="0" fontId="3" fillId="6" borderId="0" xfId="0" applyFont="1" applyFill="1" applyBorder="1" applyAlignment="1" applyProtection="1">
      <alignment horizontal="center"/>
    </xf>
    <xf numFmtId="164" fontId="3" fillId="6" borderId="0" xfId="0" applyNumberFormat="1" applyFont="1" applyFill="1" applyBorder="1" applyAlignment="1" applyProtection="1">
      <alignment horizontal="center"/>
    </xf>
    <xf numFmtId="0" fontId="3" fillId="6" borderId="0" xfId="0" applyFont="1" applyFill="1" applyAlignment="1" applyProtection="1">
      <alignment horizontal="center"/>
    </xf>
    <xf numFmtId="0" fontId="2" fillId="7" borderId="0" xfId="0" applyFont="1" applyFill="1" applyBorder="1" applyAlignment="1" applyProtection="1">
      <alignment horizontal="center"/>
    </xf>
    <xf numFmtId="0" fontId="2" fillId="7" borderId="0" xfId="0" applyFont="1" applyFill="1" applyAlignment="1" applyProtection="1">
      <alignment horizontal="center"/>
    </xf>
    <xf numFmtId="164" fontId="2" fillId="7" borderId="0" xfId="0" applyNumberFormat="1" applyFont="1" applyFill="1" applyAlignment="1" applyProtection="1">
      <alignment horizontal="center"/>
    </xf>
    <xf numFmtId="0" fontId="2" fillId="7" borderId="0" xfId="0" applyFont="1" applyFill="1" applyAlignment="1" applyProtection="1">
      <alignment horizontal="left"/>
    </xf>
    <xf numFmtId="0" fontId="3" fillId="7" borderId="0" xfId="0" applyFont="1" applyFill="1" applyAlignment="1" applyProtection="1">
      <alignment horizontal="center"/>
    </xf>
    <xf numFmtId="0" fontId="0" fillId="8" borderId="0" xfId="0" applyFill="1"/>
    <xf numFmtId="0" fontId="2" fillId="9" borderId="0" xfId="0" applyFont="1" applyFill="1" applyProtection="1"/>
    <xf numFmtId="0" fontId="3" fillId="9" borderId="0" xfId="0" applyFont="1" applyFill="1" applyAlignment="1" applyProtection="1">
      <alignment horizontal="center"/>
    </xf>
    <xf numFmtId="0" fontId="0" fillId="9" borderId="0" xfId="0" applyFill="1"/>
    <xf numFmtId="164" fontId="2" fillId="9" borderId="0" xfId="0" applyNumberFormat="1" applyFont="1" applyFill="1" applyAlignment="1" applyProtection="1">
      <alignment horizontal="center"/>
    </xf>
    <xf numFmtId="0" fontId="4" fillId="10" borderId="0" xfId="0" applyFont="1" applyFill="1"/>
    <xf numFmtId="0" fontId="0" fillId="10" borderId="0" xfId="0" applyFill="1"/>
    <xf numFmtId="0" fontId="7" fillId="11" borderId="0" xfId="0" applyFont="1" applyFill="1" applyProtection="1"/>
    <xf numFmtId="0" fontId="7" fillId="11" borderId="0" xfId="0" applyFont="1" applyFill="1" applyAlignment="1" applyProtection="1">
      <alignment horizontal="center"/>
    </xf>
    <xf numFmtId="164" fontId="7" fillId="11" borderId="0" xfId="0" applyNumberFormat="1" applyFont="1" applyFill="1" applyAlignment="1" applyProtection="1">
      <alignment horizontal="center"/>
    </xf>
    <xf numFmtId="0" fontId="4" fillId="8" borderId="0" xfId="0" applyFont="1" applyFill="1"/>
    <xf numFmtId="0" fontId="4" fillId="12" borderId="0" xfId="0" applyFont="1" applyFill="1"/>
    <xf numFmtId="0" fontId="0" fillId="12" borderId="0" xfId="0" applyFill="1"/>
    <xf numFmtId="0" fontId="4" fillId="2" borderId="0" xfId="0" applyFont="1" applyFill="1"/>
    <xf numFmtId="0" fontId="4" fillId="13" borderId="0" xfId="0" applyFont="1" applyFill="1"/>
    <xf numFmtId="0" fontId="0" fillId="13" borderId="0" xfId="0" applyFill="1"/>
    <xf numFmtId="0" fontId="0" fillId="9" borderId="1" xfId="0" applyFill="1" applyBorder="1"/>
    <xf numFmtId="0" fontId="4" fillId="9" borderId="2" xfId="0" applyFont="1" applyFill="1" applyBorder="1"/>
    <xf numFmtId="0" fontId="0" fillId="9" borderId="2" xfId="0" applyFill="1" applyBorder="1"/>
    <xf numFmtId="0" fontId="0" fillId="9" borderId="3" xfId="0" applyFill="1" applyBorder="1"/>
    <xf numFmtId="0" fontId="0" fillId="14" borderId="4" xfId="0" applyFill="1" applyBorder="1"/>
    <xf numFmtId="0" fontId="0" fillId="14" borderId="0" xfId="0" applyFill="1" applyBorder="1"/>
    <xf numFmtId="0" fontId="0" fillId="14" borderId="5" xfId="0" applyFill="1" applyBorder="1"/>
    <xf numFmtId="0" fontId="0" fillId="4" borderId="1" xfId="0" applyFill="1" applyBorder="1"/>
    <xf numFmtId="0" fontId="0" fillId="4" borderId="2" xfId="0" applyFill="1" applyBorder="1"/>
    <xf numFmtId="0" fontId="0" fillId="4" borderId="3" xfId="0" applyFill="1" applyBorder="1"/>
    <xf numFmtId="0" fontId="0" fillId="15" borderId="12" xfId="0" applyFill="1" applyBorder="1"/>
    <xf numFmtId="0" fontId="0" fillId="15" borderId="0" xfId="0" applyFill="1" applyBorder="1"/>
    <xf numFmtId="0" fontId="0" fillId="15" borderId="13" xfId="0" applyFill="1" applyBorder="1"/>
    <xf numFmtId="0" fontId="4" fillId="10" borderId="9" xfId="0" applyFont="1" applyFill="1" applyBorder="1"/>
    <xf numFmtId="0" fontId="0" fillId="10" borderId="10" xfId="0" applyFill="1" applyBorder="1"/>
    <xf numFmtId="0" fontId="0" fillId="16" borderId="10" xfId="0" applyFill="1" applyBorder="1"/>
    <xf numFmtId="0" fontId="0" fillId="16" borderId="11" xfId="0" applyFill="1" applyBorder="1"/>
    <xf numFmtId="0" fontId="4" fillId="2" borderId="9" xfId="0" applyFont="1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4" xfId="0" applyFill="1" applyBorder="1"/>
    <xf numFmtId="0" fontId="0" fillId="2" borderId="0" xfId="0" applyFill="1" applyBorder="1"/>
    <xf numFmtId="0" fontId="0" fillId="2" borderId="5" xfId="0" applyFill="1" applyBorder="1"/>
    <xf numFmtId="0" fontId="4" fillId="17" borderId="9" xfId="0" applyFont="1" applyFill="1" applyBorder="1"/>
    <xf numFmtId="0" fontId="0" fillId="17" borderId="10" xfId="0" applyFill="1" applyBorder="1"/>
    <xf numFmtId="0" fontId="4" fillId="8" borderId="9" xfId="0" applyFont="1" applyFill="1" applyBorder="1"/>
    <xf numFmtId="0" fontId="0" fillId="8" borderId="10" xfId="0" applyFill="1" applyBorder="1"/>
    <xf numFmtId="0" fontId="0" fillId="8" borderId="11" xfId="0" applyFill="1" applyBorder="1"/>
    <xf numFmtId="0" fontId="0" fillId="18" borderId="4" xfId="0" applyFill="1" applyBorder="1"/>
    <xf numFmtId="0" fontId="0" fillId="18" borderId="0" xfId="0" applyFill="1" applyBorder="1"/>
    <xf numFmtId="0" fontId="0" fillId="18" borderId="5" xfId="0" applyFill="1" applyBorder="1"/>
    <xf numFmtId="0" fontId="0" fillId="16" borderId="9" xfId="0" applyFill="1" applyBorder="1"/>
    <xf numFmtId="0" fontId="0" fillId="3" borderId="0" xfId="0" applyFill="1"/>
    <xf numFmtId="0" fontId="10" fillId="3" borderId="0" xfId="0" applyFont="1" applyFill="1"/>
    <xf numFmtId="0" fontId="4" fillId="3" borderId="0" xfId="0" applyFont="1" applyFill="1" applyAlignment="1">
      <alignment horizontal="right"/>
    </xf>
    <xf numFmtId="0" fontId="0" fillId="3" borderId="0" xfId="0" applyFill="1" applyAlignment="1">
      <alignment horizontal="right"/>
    </xf>
    <xf numFmtId="0" fontId="4" fillId="3" borderId="0" xfId="0" applyFont="1" applyFill="1" applyAlignment="1">
      <alignment horizontal="center"/>
    </xf>
    <xf numFmtId="0" fontId="0" fillId="3" borderId="0" xfId="0" applyFill="1" applyAlignment="1">
      <alignment horizontal="center"/>
    </xf>
    <xf numFmtId="0" fontId="12" fillId="3" borderId="0" xfId="0" applyFont="1" applyFill="1"/>
    <xf numFmtId="0" fontId="5" fillId="3" borderId="0" xfId="0" applyFont="1" applyFill="1"/>
    <xf numFmtId="0" fontId="0" fillId="3" borderId="17" xfId="0" applyFill="1" applyBorder="1" applyAlignment="1">
      <alignment horizontal="center"/>
    </xf>
    <xf numFmtId="164" fontId="0" fillId="3" borderId="0" xfId="0" applyNumberFormat="1" applyFill="1" applyAlignment="1">
      <alignment horizontal="left"/>
    </xf>
    <xf numFmtId="0" fontId="0" fillId="3" borderId="0" xfId="0" applyFill="1" applyAlignment="1">
      <alignment horizontal="left"/>
    </xf>
    <xf numFmtId="0" fontId="12" fillId="3" borderId="0" xfId="0" applyFont="1" applyFill="1" applyAlignment="1">
      <alignment horizontal="center"/>
    </xf>
    <xf numFmtId="0" fontId="0" fillId="3" borderId="1" xfId="0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3" borderId="0" xfId="0" applyFill="1" applyBorder="1" applyAlignment="1">
      <alignment horizontal="center"/>
    </xf>
    <xf numFmtId="0" fontId="0" fillId="3" borderId="0" xfId="0" quotePrefix="1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3" borderId="7" xfId="0" quotePrefix="1" applyFill="1" applyBorder="1" applyAlignment="1">
      <alignment horizontal="center"/>
    </xf>
    <xf numFmtId="0" fontId="0" fillId="3" borderId="0" xfId="0" quotePrefix="1" applyFill="1" applyAlignment="1">
      <alignment horizontal="center"/>
    </xf>
    <xf numFmtId="0" fontId="4" fillId="0" borderId="0" xfId="0" applyFont="1" applyFill="1" applyAlignment="1">
      <alignment horizontal="right"/>
    </xf>
    <xf numFmtId="0" fontId="9" fillId="3" borderId="0" xfId="0" applyFont="1" applyFill="1" applyAlignment="1">
      <alignment horizontal="left"/>
    </xf>
    <xf numFmtId="0" fontId="8" fillId="0" borderId="0" xfId="0" applyFont="1" applyFill="1" applyBorder="1"/>
    <xf numFmtId="0" fontId="8" fillId="0" borderId="18" xfId="0" applyFont="1" applyFill="1" applyBorder="1"/>
    <xf numFmtId="0" fontId="0" fillId="3" borderId="19" xfId="0" applyFill="1" applyBorder="1"/>
    <xf numFmtId="0" fontId="14" fillId="3" borderId="0" xfId="0" applyFont="1" applyFill="1"/>
    <xf numFmtId="0" fontId="4" fillId="6" borderId="0" xfId="0" applyFont="1" applyFill="1"/>
    <xf numFmtId="166" fontId="0" fillId="0" borderId="0" xfId="0" applyNumberFormat="1" applyBorder="1" applyAlignment="1">
      <alignment horizontal="center"/>
    </xf>
    <xf numFmtId="167" fontId="0" fillId="0" borderId="0" xfId="0" applyNumberFormat="1" applyBorder="1" applyAlignment="1">
      <alignment horizontal="center"/>
    </xf>
    <xf numFmtId="164" fontId="0" fillId="3" borderId="2" xfId="0" applyNumberFormat="1" applyFill="1" applyBorder="1" applyAlignment="1">
      <alignment horizontal="center"/>
    </xf>
    <xf numFmtId="164" fontId="0" fillId="3" borderId="2" xfId="0" applyNumberFormat="1" applyFill="1" applyBorder="1" applyAlignment="1">
      <alignment horizontal="center"/>
    </xf>
    <xf numFmtId="166" fontId="0" fillId="3" borderId="2" xfId="0" applyNumberFormat="1" applyFill="1" applyBorder="1" applyAlignment="1">
      <alignment horizontal="center"/>
    </xf>
    <xf numFmtId="164" fontId="0" fillId="3" borderId="0" xfId="0" applyNumberFormat="1" applyFill="1" applyBorder="1" applyAlignment="1">
      <alignment horizontal="center"/>
    </xf>
    <xf numFmtId="166" fontId="0" fillId="3" borderId="0" xfId="0" applyNumberFormat="1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164" fontId="0" fillId="3" borderId="2" xfId="0" applyNumberFormat="1" applyFill="1" applyBorder="1" applyAlignment="1">
      <alignment horizontal="center"/>
    </xf>
    <xf numFmtId="166" fontId="0" fillId="3" borderId="2" xfId="0" applyNumberFormat="1" applyFill="1" applyBorder="1" applyAlignment="1">
      <alignment horizontal="center"/>
    </xf>
    <xf numFmtId="164" fontId="0" fillId="3" borderId="7" xfId="0" applyNumberFormat="1" applyFill="1" applyBorder="1" applyAlignment="1">
      <alignment horizontal="center"/>
    </xf>
    <xf numFmtId="166" fontId="0" fillId="3" borderId="7" xfId="0" applyNumberFormat="1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3" borderId="7" xfId="0" applyFill="1" applyBorder="1" applyAlignment="1">
      <alignment horizontal="left"/>
    </xf>
    <xf numFmtId="166" fontId="0" fillId="3" borderId="0" xfId="0" applyNumberFormat="1" applyFill="1" applyBorder="1" applyAlignment="1">
      <alignment horizontal="center"/>
    </xf>
    <xf numFmtId="164" fontId="0" fillId="3" borderId="0" xfId="0" applyNumberFormat="1" applyFill="1" applyAlignment="1">
      <alignment horizontal="center"/>
    </xf>
    <xf numFmtId="166" fontId="0" fillId="3" borderId="0" xfId="0" applyNumberFormat="1" applyFill="1" applyAlignment="1">
      <alignment horizontal="center"/>
    </xf>
    <xf numFmtId="2" fontId="0" fillId="3" borderId="2" xfId="0" applyNumberFormat="1" applyFill="1" applyBorder="1" applyAlignment="1">
      <alignment horizontal="center"/>
    </xf>
    <xf numFmtId="2" fontId="0" fillId="3" borderId="0" xfId="0" applyNumberFormat="1" applyFill="1" applyBorder="1" applyAlignment="1">
      <alignment horizontal="center"/>
    </xf>
    <xf numFmtId="2" fontId="0" fillId="3" borderId="7" xfId="0" applyNumberFormat="1" applyFill="1" applyBorder="1" applyAlignment="1">
      <alignment horizontal="center"/>
    </xf>
    <xf numFmtId="2" fontId="0" fillId="3" borderId="3" xfId="0" applyNumberFormat="1" applyFill="1" applyBorder="1" applyAlignment="1">
      <alignment horizontal="center"/>
    </xf>
    <xf numFmtId="2" fontId="0" fillId="3" borderId="5" xfId="0" applyNumberFormat="1" applyFill="1" applyBorder="1" applyAlignment="1">
      <alignment horizontal="center"/>
    </xf>
    <xf numFmtId="2" fontId="0" fillId="3" borderId="8" xfId="0" applyNumberFormat="1" applyFill="1" applyBorder="1" applyAlignment="1">
      <alignment horizontal="center"/>
    </xf>
    <xf numFmtId="166" fontId="0" fillId="0" borderId="10" xfId="0" applyNumberFormat="1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12" fillId="3" borderId="0" xfId="0" applyFont="1" applyFill="1" applyBorder="1" applyAlignment="1">
      <alignment horizontal="center"/>
    </xf>
    <xf numFmtId="0" fontId="12" fillId="3" borderId="13" xfId="0" applyFont="1" applyFill="1" applyBorder="1" applyAlignment="1">
      <alignment horizontal="center"/>
    </xf>
    <xf numFmtId="0" fontId="0" fillId="0" borderId="13" xfId="0" applyFill="1" applyBorder="1"/>
    <xf numFmtId="0" fontId="0" fillId="0" borderId="0" xfId="0" applyBorder="1" applyAlignment="1">
      <alignment horizontal="right"/>
    </xf>
    <xf numFmtId="0" fontId="19" fillId="3" borderId="0" xfId="0" applyFont="1" applyFill="1"/>
    <xf numFmtId="2" fontId="0" fillId="20" borderId="0" xfId="0" applyNumberFormat="1" applyFill="1" applyAlignment="1">
      <alignment horizontal="center"/>
    </xf>
    <xf numFmtId="1" fontId="0" fillId="3" borderId="17" xfId="0" applyNumberFormat="1" applyFill="1" applyBorder="1" applyAlignment="1">
      <alignment horizontal="center"/>
    </xf>
    <xf numFmtId="0" fontId="4" fillId="20" borderId="0" xfId="0" applyFont="1" applyFill="1"/>
    <xf numFmtId="0" fontId="8" fillId="3" borderId="4" xfId="0" applyFont="1" applyFill="1" applyBorder="1" applyAlignment="1">
      <alignment horizontal="center"/>
    </xf>
    <xf numFmtId="0" fontId="21" fillId="21" borderId="0" xfId="0" applyFont="1" applyFill="1"/>
    <xf numFmtId="0" fontId="22" fillId="21" borderId="0" xfId="0" applyFont="1" applyFill="1"/>
    <xf numFmtId="0" fontId="0" fillId="0" borderId="32" xfId="0" applyBorder="1"/>
    <xf numFmtId="0" fontId="0" fillId="0" borderId="11" xfId="0" applyBorder="1"/>
    <xf numFmtId="0" fontId="0" fillId="0" borderId="17" xfId="0" applyBorder="1"/>
    <xf numFmtId="0" fontId="0" fillId="22" borderId="1" xfId="0" applyFill="1" applyBorder="1"/>
    <xf numFmtId="0" fontId="0" fillId="22" borderId="2" xfId="0" applyFill="1" applyBorder="1"/>
    <xf numFmtId="0" fontId="0" fillId="22" borderId="3" xfId="0" applyFill="1" applyBorder="1"/>
    <xf numFmtId="0" fontId="0" fillId="0" borderId="33" xfId="0" applyBorder="1"/>
    <xf numFmtId="0" fontId="0" fillId="0" borderId="34" xfId="0" applyBorder="1"/>
    <xf numFmtId="0" fontId="0" fillId="0" borderId="35" xfId="0" applyBorder="1"/>
    <xf numFmtId="0" fontId="0" fillId="0" borderId="7" xfId="0" applyBorder="1"/>
    <xf numFmtId="0" fontId="0" fillId="0" borderId="8" xfId="0" applyBorder="1"/>
    <xf numFmtId="0" fontId="24" fillId="3" borderId="0" xfId="0" applyFont="1" applyFill="1"/>
    <xf numFmtId="164" fontId="0" fillId="3" borderId="0" xfId="0" applyNumberFormat="1" applyFill="1"/>
    <xf numFmtId="164" fontId="0" fillId="0" borderId="0" xfId="0" applyNumberFormat="1"/>
    <xf numFmtId="0" fontId="24" fillId="3" borderId="0" xfId="0" applyFont="1" applyFill="1" applyAlignment="1">
      <alignment horizontal="right"/>
    </xf>
    <xf numFmtId="1" fontId="27" fillId="20" borderId="0" xfId="0" applyNumberFormat="1" applyFont="1" applyFill="1" applyAlignment="1">
      <alignment horizontal="center"/>
    </xf>
    <xf numFmtId="0" fontId="19" fillId="0" borderId="4" xfId="0" applyFont="1" applyBorder="1"/>
    <xf numFmtId="166" fontId="0" fillId="0" borderId="5" xfId="0" applyNumberFormat="1" applyBorder="1" applyAlignment="1">
      <alignment horizontal="center"/>
    </xf>
    <xf numFmtId="164" fontId="0" fillId="0" borderId="5" xfId="0" applyNumberFormat="1" applyBorder="1" applyAlignment="1">
      <alignment horizontal="center"/>
    </xf>
    <xf numFmtId="164" fontId="4" fillId="3" borderId="0" xfId="0" applyNumberFormat="1" applyFont="1" applyFill="1" applyAlignment="1">
      <alignment horizontal="center"/>
    </xf>
    <xf numFmtId="0" fontId="0" fillId="22" borderId="0" xfId="0" applyFill="1"/>
    <xf numFmtId="0" fontId="24" fillId="3" borderId="12" xfId="0" applyFont="1" applyFill="1" applyBorder="1" applyAlignment="1">
      <alignment horizontal="right"/>
    </xf>
    <xf numFmtId="2" fontId="0" fillId="0" borderId="10" xfId="0" applyNumberFormat="1" applyBorder="1"/>
    <xf numFmtId="2" fontId="0" fillId="0" borderId="0" xfId="0" applyNumberFormat="1" applyBorder="1" applyAlignment="1">
      <alignment horizontal="center"/>
    </xf>
    <xf numFmtId="2" fontId="0" fillId="0" borderId="10" xfId="0" applyNumberFormat="1" applyBorder="1" applyAlignment="1">
      <alignment horizontal="center"/>
    </xf>
    <xf numFmtId="0" fontId="0" fillId="20" borderId="0" xfId="0" applyFill="1" applyAlignment="1" applyProtection="1">
      <alignment horizontal="center"/>
      <protection locked="0"/>
    </xf>
    <xf numFmtId="0" fontId="0" fillId="3" borderId="0" xfId="0" applyFill="1" applyAlignment="1" applyProtection="1">
      <alignment horizontal="center"/>
      <protection locked="0"/>
    </xf>
    <xf numFmtId="0" fontId="4" fillId="2" borderId="0" xfId="0" applyFont="1" applyFill="1" applyAlignment="1" applyProtection="1">
      <alignment horizontal="center"/>
      <protection locked="0"/>
    </xf>
    <xf numFmtId="0" fontId="19" fillId="19" borderId="0" xfId="0" applyFont="1" applyFill="1" applyAlignment="1" applyProtection="1">
      <alignment horizontal="center"/>
      <protection locked="0"/>
    </xf>
    <xf numFmtId="165" fontId="0" fillId="2" borderId="0" xfId="0" applyNumberFormat="1" applyFill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12" fillId="2" borderId="17" xfId="0" applyFon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164" fontId="0" fillId="2" borderId="2" xfId="0" applyNumberFormat="1" applyFill="1" applyBorder="1" applyAlignment="1" applyProtection="1">
      <alignment horizontal="center"/>
      <protection locked="0"/>
    </xf>
    <xf numFmtId="2" fontId="0" fillId="2" borderId="0" xfId="0" applyNumberFormat="1" applyFill="1" applyBorder="1" applyAlignment="1" applyProtection="1">
      <alignment horizontal="center"/>
      <protection locked="0"/>
    </xf>
    <xf numFmtId="164" fontId="0" fillId="2" borderId="0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0" fontId="12" fillId="2" borderId="2" xfId="0" applyFont="1" applyFill="1" applyBorder="1" applyAlignment="1" applyProtection="1">
      <alignment horizontal="center"/>
      <protection locked="0"/>
    </xf>
    <xf numFmtId="0" fontId="12" fillId="2" borderId="0" xfId="0" applyFont="1" applyFill="1" applyAlignment="1" applyProtection="1">
      <alignment horizontal="center"/>
      <protection locked="0"/>
    </xf>
    <xf numFmtId="2" fontId="0" fillId="2" borderId="0" xfId="0" applyNumberFormat="1" applyFill="1" applyAlignment="1" applyProtection="1">
      <alignment horizontal="center"/>
      <protection locked="0"/>
    </xf>
    <xf numFmtId="164" fontId="0" fillId="2" borderId="0" xfId="0" applyNumberFormat="1" applyFill="1" applyAlignment="1" applyProtection="1">
      <alignment horizontal="center"/>
      <protection locked="0"/>
    </xf>
    <xf numFmtId="0" fontId="20" fillId="19" borderId="14" xfId="0" applyFont="1" applyFill="1" applyBorder="1" applyProtection="1">
      <protection locked="0"/>
    </xf>
    <xf numFmtId="0" fontId="20" fillId="19" borderId="36" xfId="0" applyFont="1" applyFill="1" applyBorder="1" applyProtection="1">
      <protection locked="0"/>
    </xf>
    <xf numFmtId="0" fontId="0" fillId="3" borderId="0" xfId="0" applyFill="1" applyAlignment="1">
      <alignment horizontal="center"/>
    </xf>
    <xf numFmtId="0" fontId="0" fillId="19" borderId="9" xfId="0" applyFill="1" applyBorder="1"/>
    <xf numFmtId="0" fontId="0" fillId="19" borderId="10" xfId="0" applyFill="1" applyBorder="1"/>
    <xf numFmtId="0" fontId="0" fillId="19" borderId="11" xfId="0" applyFill="1" applyBorder="1"/>
    <xf numFmtId="0" fontId="20" fillId="3" borderId="0" xfId="0" applyFont="1" applyFill="1" applyAlignment="1">
      <alignment horizontal="left"/>
    </xf>
    <xf numFmtId="0" fontId="12" fillId="3" borderId="0" xfId="0" applyFont="1" applyFill="1" applyAlignment="1">
      <alignment horizontal="center"/>
    </xf>
    <xf numFmtId="0" fontId="12" fillId="3" borderId="0" xfId="0" applyFont="1" applyFill="1" applyAlignment="1">
      <alignment horizontal="left"/>
    </xf>
    <xf numFmtId="0" fontId="0" fillId="20" borderId="0" xfId="0" applyFill="1"/>
    <xf numFmtId="0" fontId="0" fillId="20" borderId="0" xfId="0" applyFill="1" applyAlignment="1">
      <alignment horizontal="center"/>
    </xf>
    <xf numFmtId="164" fontId="24" fillId="3" borderId="0" xfId="0" applyNumberFormat="1" applyFont="1" applyFill="1" applyAlignment="1">
      <alignment horizontal="center"/>
    </xf>
    <xf numFmtId="166" fontId="0" fillId="2" borderId="17" xfId="0" applyNumberFormat="1" applyFill="1" applyBorder="1" applyAlignment="1" applyProtection="1">
      <alignment horizontal="center"/>
      <protection locked="0"/>
    </xf>
    <xf numFmtId="0" fontId="0" fillId="19" borderId="2" xfId="0" applyFill="1" applyBorder="1" applyAlignment="1" applyProtection="1">
      <alignment horizontal="center"/>
      <protection locked="0"/>
    </xf>
    <xf numFmtId="0" fontId="0" fillId="19" borderId="0" xfId="0" applyFill="1" applyBorder="1" applyAlignment="1" applyProtection="1">
      <alignment horizontal="center"/>
      <protection locked="0"/>
    </xf>
    <xf numFmtId="0" fontId="0" fillId="19" borderId="7" xfId="0" applyFill="1" applyBorder="1" applyAlignment="1" applyProtection="1">
      <alignment horizontal="center"/>
      <protection locked="0"/>
    </xf>
    <xf numFmtId="0" fontId="0" fillId="19" borderId="0" xfId="0" applyFill="1" applyAlignment="1" applyProtection="1">
      <alignment horizontal="center"/>
      <protection locked="0"/>
    </xf>
    <xf numFmtId="14" fontId="0" fillId="0" borderId="0" xfId="0" applyNumberFormat="1"/>
    <xf numFmtId="0" fontId="24" fillId="3" borderId="0" xfId="0" applyFont="1" applyFill="1" applyAlignment="1">
      <alignment horizontal="center"/>
    </xf>
    <xf numFmtId="0" fontId="28" fillId="0" borderId="12" xfId="0" applyFont="1" applyBorder="1"/>
    <xf numFmtId="0" fontId="28" fillId="0" borderId="0" xfId="0" applyFont="1" applyBorder="1"/>
    <xf numFmtId="164" fontId="0" fillId="2" borderId="17" xfId="0" applyNumberFormat="1" applyFill="1" applyBorder="1" applyAlignment="1" applyProtection="1">
      <alignment horizontal="center"/>
      <protection locked="0"/>
    </xf>
    <xf numFmtId="0" fontId="26" fillId="3" borderId="0" xfId="0" applyFont="1" applyFill="1" applyAlignment="1">
      <alignment horizontal="center"/>
    </xf>
    <xf numFmtId="0" fontId="26" fillId="3" borderId="0" xfId="0" applyFont="1" applyFill="1" applyBorder="1" applyAlignment="1">
      <alignment horizontal="right"/>
    </xf>
    <xf numFmtId="0" fontId="23" fillId="3" borderId="5" xfId="0" applyFont="1" applyFill="1" applyBorder="1" applyAlignment="1">
      <alignment horizontal="center"/>
    </xf>
    <xf numFmtId="0" fontId="0" fillId="3" borderId="0" xfId="0" applyFont="1" applyFill="1"/>
    <xf numFmtId="0" fontId="29" fillId="3" borderId="0" xfId="0" applyFont="1" applyFill="1"/>
    <xf numFmtId="0" fontId="30" fillId="2" borderId="0" xfId="0" applyFont="1" applyFill="1" applyAlignment="1" applyProtection="1">
      <alignment horizontal="center"/>
      <protection locked="0"/>
    </xf>
    <xf numFmtId="0" fontId="31" fillId="2" borderId="0" xfId="0" applyFont="1" applyFill="1" applyAlignment="1" applyProtection="1">
      <alignment horizontal="center"/>
      <protection locked="0"/>
    </xf>
    <xf numFmtId="0" fontId="0" fillId="0" borderId="37" xfId="0" applyBorder="1"/>
    <xf numFmtId="0" fontId="0" fillId="0" borderId="38" xfId="0" applyBorder="1"/>
    <xf numFmtId="0" fontId="19" fillId="0" borderId="39" xfId="0" applyFont="1" applyBorder="1"/>
    <xf numFmtId="0" fontId="0" fillId="25" borderId="0" xfId="0" applyFill="1"/>
    <xf numFmtId="0" fontId="0" fillId="19" borderId="32" xfId="0" applyFill="1" applyBorder="1"/>
    <xf numFmtId="0" fontId="0" fillId="24" borderId="10" xfId="0" applyFill="1" applyBorder="1"/>
    <xf numFmtId="0" fontId="19" fillId="0" borderId="0" xfId="0" applyFont="1" applyBorder="1"/>
    <xf numFmtId="9" fontId="19" fillId="0" borderId="0" xfId="0" applyNumberFormat="1" applyFont="1" applyBorder="1"/>
    <xf numFmtId="0" fontId="19" fillId="0" borderId="0" xfId="0" quotePrefix="1" applyFont="1" applyBorder="1"/>
    <xf numFmtId="166" fontId="0" fillId="0" borderId="0" xfId="0" applyNumberFormat="1" applyBorder="1"/>
    <xf numFmtId="0" fontId="0" fillId="19" borderId="12" xfId="0" applyFill="1" applyBorder="1"/>
    <xf numFmtId="0" fontId="0" fillId="19" borderId="0" xfId="0" applyFill="1" applyBorder="1"/>
    <xf numFmtId="166" fontId="0" fillId="0" borderId="10" xfId="0" applyNumberFormat="1" applyBorder="1"/>
    <xf numFmtId="0" fontId="0" fillId="23" borderId="10" xfId="0" applyFill="1" applyBorder="1"/>
    <xf numFmtId="0" fontId="0" fillId="23" borderId="11" xfId="0" applyFill="1" applyBorder="1"/>
    <xf numFmtId="165" fontId="0" fillId="0" borderId="0" xfId="0" applyNumberFormat="1" applyBorder="1"/>
    <xf numFmtId="0" fontId="18" fillId="3" borderId="0" xfId="0" applyFont="1" applyFill="1" applyBorder="1" applyAlignment="1">
      <alignment horizontal="center"/>
    </xf>
    <xf numFmtId="0" fontId="19" fillId="0" borderId="14" xfId="0" applyFont="1" applyBorder="1"/>
    <xf numFmtId="0" fontId="0" fillId="25" borderId="0" xfId="0" applyFill="1" applyBorder="1"/>
    <xf numFmtId="0" fontId="0" fillId="26" borderId="0" xfId="0" applyFill="1" applyBorder="1"/>
    <xf numFmtId="0" fontId="0" fillId="0" borderId="14" xfId="0" quotePrefix="1" applyBorder="1"/>
    <xf numFmtId="165" fontId="0" fillId="19" borderId="0" xfId="0" applyNumberFormat="1" applyFill="1" applyBorder="1"/>
    <xf numFmtId="0" fontId="4" fillId="2" borderId="0" xfId="0" applyFont="1" applyFill="1" applyAlignment="1" applyProtection="1">
      <alignment horizontal="center"/>
      <protection locked="0"/>
    </xf>
    <xf numFmtId="165" fontId="0" fillId="0" borderId="0" xfId="0" applyNumberFormat="1" applyFill="1" applyBorder="1"/>
    <xf numFmtId="165" fontId="0" fillId="20" borderId="4" xfId="0" applyNumberFormat="1" applyFill="1" applyBorder="1" applyAlignment="1">
      <alignment horizontal="center"/>
    </xf>
    <xf numFmtId="165" fontId="0" fillId="20" borderId="0" xfId="0" applyNumberFormat="1" applyFill="1" applyAlignment="1">
      <alignment horizontal="center"/>
    </xf>
    <xf numFmtId="165" fontId="0" fillId="0" borderId="0" xfId="0" applyNumberFormat="1"/>
    <xf numFmtId="165" fontId="33" fillId="3" borderId="0" xfId="0" applyNumberFormat="1" applyFont="1" applyFill="1" applyBorder="1" applyAlignment="1">
      <alignment horizontal="right"/>
    </xf>
    <xf numFmtId="165" fontId="33" fillId="3" borderId="7" xfId="0" applyNumberFormat="1" applyFont="1" applyFill="1" applyBorder="1" applyAlignment="1">
      <alignment horizontal="right"/>
    </xf>
    <xf numFmtId="165" fontId="0" fillId="3" borderId="3" xfId="0" applyNumberFormat="1" applyFont="1" applyFill="1" applyBorder="1" applyAlignment="1">
      <alignment horizontal="center"/>
    </xf>
    <xf numFmtId="0" fontId="0" fillId="3" borderId="0" xfId="0" applyFill="1" applyProtection="1">
      <protection locked="0"/>
    </xf>
    <xf numFmtId="0" fontId="33" fillId="3" borderId="7" xfId="0" applyFont="1" applyFill="1" applyBorder="1" applyAlignment="1">
      <alignment horizontal="left"/>
    </xf>
    <xf numFmtId="0" fontId="33" fillId="0" borderId="8" xfId="0" applyFont="1" applyBorder="1" applyAlignment="1">
      <alignment horizontal="left"/>
    </xf>
    <xf numFmtId="0" fontId="23" fillId="20" borderId="0" xfId="0" applyFont="1" applyFill="1" applyAlignment="1">
      <alignment horizontal="right"/>
    </xf>
    <xf numFmtId="0" fontId="0" fillId="3" borderId="17" xfId="0" applyFill="1" applyBorder="1" applyAlignment="1">
      <alignment horizontal="center"/>
    </xf>
    <xf numFmtId="0" fontId="4" fillId="2" borderId="0" xfId="0" applyFont="1" applyFill="1" applyAlignment="1" applyProtection="1">
      <alignment horizontal="center"/>
      <protection locked="0"/>
    </xf>
    <xf numFmtId="0" fontId="23" fillId="3" borderId="0" xfId="0" applyFont="1" applyFill="1" applyAlignment="1">
      <alignment horizontal="right"/>
    </xf>
    <xf numFmtId="0" fontId="0" fillId="0" borderId="17" xfId="0" applyBorder="1" applyAlignment="1"/>
    <xf numFmtId="0" fontId="0" fillId="3" borderId="0" xfId="0" applyFill="1" applyAlignment="1">
      <alignment horizontal="right"/>
    </xf>
    <xf numFmtId="0" fontId="0" fillId="2" borderId="20" xfId="0" applyFill="1" applyBorder="1" applyAlignment="1" applyProtection="1">
      <alignment horizontal="left" vertical="top" wrapText="1"/>
      <protection locked="0"/>
    </xf>
    <xf numFmtId="0" fontId="0" fillId="0" borderId="18" xfId="0" applyBorder="1" applyAlignment="1" applyProtection="1">
      <alignment horizontal="left" vertical="top" wrapText="1"/>
      <protection locked="0"/>
    </xf>
    <xf numFmtId="0" fontId="0" fillId="0" borderId="21" xfId="0" applyBorder="1" applyAlignment="1" applyProtection="1">
      <alignment horizontal="left" vertical="top" wrapText="1"/>
      <protection locked="0"/>
    </xf>
    <xf numFmtId="0" fontId="0" fillId="0" borderId="22" xfId="0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0" fillId="0" borderId="19" xfId="0" applyBorder="1" applyAlignment="1">
      <alignment horizontal="left" vertical="top" wrapText="1"/>
    </xf>
    <xf numFmtId="0" fontId="0" fillId="0" borderId="23" xfId="0" applyBorder="1" applyAlignment="1">
      <alignment horizontal="left" vertical="top" wrapText="1"/>
    </xf>
    <xf numFmtId="0" fontId="0" fillId="0" borderId="24" xfId="0" applyBorder="1" applyAlignment="1">
      <alignment horizontal="left" vertical="top" wrapText="1"/>
    </xf>
    <xf numFmtId="0" fontId="0" fillId="0" borderId="25" xfId="0" applyBorder="1" applyAlignment="1">
      <alignment horizontal="left" vertical="top" wrapText="1"/>
    </xf>
    <xf numFmtId="0" fontId="0" fillId="3" borderId="30" xfId="0" applyFill="1" applyBorder="1" applyAlignment="1">
      <alignment horizontal="center"/>
    </xf>
    <xf numFmtId="0" fontId="0" fillId="3" borderId="31" xfId="0" applyFill="1" applyBorder="1" applyAlignment="1">
      <alignment horizontal="center"/>
    </xf>
    <xf numFmtId="0" fontId="0" fillId="3" borderId="18" xfId="0" applyFill="1" applyBorder="1" applyAlignment="1"/>
    <xf numFmtId="0" fontId="11" fillId="3" borderId="0" xfId="0" applyFont="1" applyFill="1" applyAlignment="1">
      <alignment horizontal="center"/>
    </xf>
    <xf numFmtId="0" fontId="0" fillId="3" borderId="0" xfId="0" applyFill="1" applyAlignment="1"/>
    <xf numFmtId="0" fontId="0" fillId="3" borderId="18" xfId="0" applyFill="1" applyBorder="1" applyAlignment="1">
      <alignment horizontal="right"/>
    </xf>
    <xf numFmtId="0" fontId="20" fillId="3" borderId="2" xfId="0" applyFont="1" applyFill="1" applyBorder="1" applyAlignment="1">
      <alignment horizontal="right"/>
    </xf>
    <xf numFmtId="0" fontId="0" fillId="5" borderId="0" xfId="0" applyFill="1" applyBorder="1" applyAlignment="1">
      <alignment horizontal="center"/>
    </xf>
    <xf numFmtId="0" fontId="0" fillId="0" borderId="0" xfId="0" applyAlignment="1"/>
    <xf numFmtId="0" fontId="4" fillId="2" borderId="0" xfId="0" applyFont="1" applyFill="1" applyAlignment="1" applyProtection="1">
      <protection locked="0"/>
    </xf>
    <xf numFmtId="14" fontId="4" fillId="2" borderId="0" xfId="0" applyNumberFormat="1" applyFont="1" applyFill="1" applyAlignment="1" applyProtection="1">
      <alignment horizontal="center"/>
      <protection locked="0"/>
    </xf>
    <xf numFmtId="0" fontId="0" fillId="20" borderId="0" xfId="0" applyFill="1" applyAlignment="1">
      <alignment horizontal="right"/>
    </xf>
    <xf numFmtId="0" fontId="0" fillId="2" borderId="10" xfId="0" applyFill="1" applyBorder="1" applyAlignment="1">
      <alignment horizontal="center"/>
    </xf>
    <xf numFmtId="0" fontId="23" fillId="3" borderId="24" xfId="0" applyFont="1" applyFill="1" applyBorder="1" applyAlignment="1">
      <alignment horizontal="center"/>
    </xf>
    <xf numFmtId="0" fontId="1" fillId="3" borderId="0" xfId="0" applyFont="1" applyFill="1" applyAlignment="1">
      <alignment horizontal="right"/>
    </xf>
    <xf numFmtId="0" fontId="9" fillId="2" borderId="0" xfId="0" applyFont="1" applyFill="1" applyAlignment="1" applyProtection="1">
      <alignment horizontal="center"/>
      <protection locked="0"/>
    </xf>
    <xf numFmtId="0" fontId="13" fillId="2" borderId="0" xfId="0" applyFont="1" applyFill="1" applyAlignment="1" applyProtection="1">
      <alignment horizontal="center"/>
      <protection locked="0"/>
    </xf>
    <xf numFmtId="0" fontId="11" fillId="2" borderId="0" xfId="0" applyFont="1" applyFill="1" applyAlignment="1" applyProtection="1">
      <alignment horizontal="center"/>
      <protection locked="0"/>
    </xf>
    <xf numFmtId="0" fontId="27" fillId="20" borderId="24" xfId="0" applyFont="1" applyFill="1" applyBorder="1" applyAlignment="1">
      <alignment horizontal="center"/>
    </xf>
    <xf numFmtId="0" fontId="23" fillId="3" borderId="17" xfId="0" applyFont="1" applyFill="1" applyBorder="1" applyAlignment="1">
      <alignment horizontal="center"/>
    </xf>
    <xf numFmtId="0" fontId="0" fillId="3" borderId="22" xfId="0" applyFill="1" applyBorder="1" applyAlignment="1">
      <alignment horizontal="right"/>
    </xf>
    <xf numFmtId="0" fontId="0" fillId="0" borderId="0" xfId="0" applyAlignment="1">
      <alignment horizontal="right"/>
    </xf>
    <xf numFmtId="0" fontId="26" fillId="3" borderId="4" xfId="0" applyFont="1" applyFill="1" applyBorder="1" applyAlignment="1">
      <alignment horizontal="center"/>
    </xf>
    <xf numFmtId="0" fontId="26" fillId="3" borderId="0" xfId="0" applyFont="1" applyFill="1" applyBorder="1" applyAlignment="1">
      <alignment horizontal="center"/>
    </xf>
    <xf numFmtId="0" fontId="5" fillId="3" borderId="28" xfId="0" applyFont="1" applyFill="1" applyBorder="1" applyAlignment="1">
      <alignment horizontal="center"/>
    </xf>
    <xf numFmtId="0" fontId="5" fillId="3" borderId="29" xfId="0" applyFont="1" applyFill="1" applyBorder="1" applyAlignment="1">
      <alignment horizontal="center"/>
    </xf>
    <xf numFmtId="165" fontId="32" fillId="3" borderId="26" xfId="0" applyNumberFormat="1" applyFont="1" applyFill="1" applyBorder="1" applyAlignment="1">
      <alignment horizontal="center"/>
    </xf>
    <xf numFmtId="165" fontId="32" fillId="3" borderId="27" xfId="0" applyNumberFormat="1" applyFont="1" applyFill="1" applyBorder="1" applyAlignment="1">
      <alignment horizontal="center"/>
    </xf>
  </cellXfs>
  <cellStyles count="1">
    <cellStyle name="Normal" xfId="0" builtinId="0"/>
  </cellStyles>
  <dxfs count="3">
    <dxf>
      <fill>
        <patternFill>
          <bgColor rgb="FFFFFF00"/>
        </patternFill>
      </fill>
    </dxf>
    <dxf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  <vertical/>
        <horizontal/>
      </border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EO132"/>
  <sheetViews>
    <sheetView tabSelected="1" zoomScale="80" zoomScaleNormal="80" workbookViewId="0">
      <selection activeCell="C3" sqref="C3"/>
    </sheetView>
  </sheetViews>
  <sheetFormatPr defaultRowHeight="15" x14ac:dyDescent="0.25"/>
  <cols>
    <col min="1" max="1" width="2.140625" customWidth="1"/>
    <col min="3" max="3" width="15.42578125" customWidth="1"/>
    <col min="4" max="4" width="17.7109375" customWidth="1"/>
    <col min="5" max="5" width="10" customWidth="1"/>
    <col min="10" max="10" width="9.42578125" customWidth="1"/>
    <col min="18" max="18" width="10" customWidth="1"/>
    <col min="20" max="20" width="10.140625" customWidth="1"/>
    <col min="21" max="21" width="18.42578125" customWidth="1"/>
    <col min="22" max="22" width="9.85546875" customWidth="1"/>
    <col min="23" max="30" width="9.140625" hidden="1" customWidth="1"/>
    <col min="31" max="31" width="19.140625" hidden="1" customWidth="1"/>
    <col min="32" max="32" width="16.85546875" hidden="1" customWidth="1"/>
    <col min="33" max="63" width="9.140625" hidden="1" customWidth="1"/>
    <col min="64" max="64" width="18.42578125" hidden="1" customWidth="1"/>
    <col min="65" max="135" width="9.140625" hidden="1" customWidth="1"/>
    <col min="136" max="136" width="12.5703125" hidden="1" customWidth="1"/>
    <col min="137" max="145" width="9.140625" hidden="1" customWidth="1"/>
    <col min="146" max="146" width="9.140625" customWidth="1"/>
  </cols>
  <sheetData>
    <row r="1" spans="1:143" ht="23.25" x14ac:dyDescent="0.35">
      <c r="A1" s="116"/>
      <c r="B1" s="192" t="s">
        <v>462</v>
      </c>
      <c r="C1" s="116"/>
      <c r="D1" s="117" t="s">
        <v>292</v>
      </c>
      <c r="E1" s="116"/>
      <c r="F1" s="116"/>
      <c r="G1" s="116"/>
      <c r="H1" s="116"/>
      <c r="I1" s="116"/>
      <c r="J1" s="116"/>
      <c r="K1" s="116"/>
      <c r="L1" s="116"/>
      <c r="M1" s="116"/>
      <c r="N1" s="116"/>
      <c r="O1" s="116"/>
      <c r="P1" s="116"/>
      <c r="Q1" s="116"/>
      <c r="R1" s="116"/>
      <c r="S1" s="116"/>
      <c r="T1" s="116"/>
      <c r="U1" s="116"/>
      <c r="V1" s="116"/>
    </row>
    <row r="2" spans="1:143" ht="18.75" x14ac:dyDescent="0.3">
      <c r="A2" s="116"/>
      <c r="B2" s="116"/>
      <c r="C2" s="116"/>
      <c r="D2" s="116"/>
      <c r="E2" s="116"/>
      <c r="F2" s="116"/>
      <c r="G2" s="116"/>
      <c r="H2" s="116"/>
      <c r="I2" s="116"/>
      <c r="J2" s="142" t="s">
        <v>451</v>
      </c>
      <c r="K2" s="116"/>
      <c r="L2" s="116"/>
      <c r="M2" s="116"/>
      <c r="N2" s="291" t="str">
        <f>IF(D14="Tons","Total Tons Produced:","Total Yd^2 Paved:")</f>
        <v>Total Tons Produced:</v>
      </c>
      <c r="O2" s="291"/>
      <c r="P2" s="209"/>
      <c r="Q2" s="293" t="s">
        <v>293</v>
      </c>
      <c r="R2" s="293"/>
      <c r="S2" s="120" t="str">
        <f>AK16</f>
        <v>See Table 2360-21</v>
      </c>
      <c r="T2" s="116"/>
      <c r="U2" s="116"/>
      <c r="V2" s="116"/>
    </row>
    <row r="3" spans="1:143" ht="21" x14ac:dyDescent="0.35">
      <c r="A3" s="116"/>
      <c r="B3" s="254" t="s">
        <v>284</v>
      </c>
      <c r="C3" s="253"/>
      <c r="D3" s="137" t="s">
        <v>3</v>
      </c>
      <c r="E3" s="320"/>
      <c r="F3" s="320"/>
      <c r="G3" s="320"/>
      <c r="H3" s="119" t="s">
        <v>87</v>
      </c>
      <c r="I3" s="318"/>
      <c r="J3" s="318"/>
      <c r="K3" s="291" t="str">
        <f>IF(D14="Tons","Bid Price ($/ton)","Bid Price ($/Sq. Yd. in.)")</f>
        <v>Bid Price ($/ton)</v>
      </c>
      <c r="L3" s="291"/>
      <c r="M3" s="210"/>
      <c r="N3" s="291" t="str">
        <f>IF(D14="Tons","Max. Density Tons:","Max. Density Yd^2:")</f>
        <v>Max. Density Tons:</v>
      </c>
      <c r="O3" s="291"/>
      <c r="P3" s="277"/>
      <c r="Q3" s="291" t="s">
        <v>294</v>
      </c>
      <c r="R3" s="291"/>
      <c r="S3" s="208"/>
      <c r="T3" s="249"/>
      <c r="U3" s="248"/>
      <c r="V3" s="116"/>
      <c r="DX3" s="28"/>
      <c r="DY3" s="168"/>
      <c r="DZ3" s="168"/>
      <c r="EA3" s="168"/>
      <c r="EB3" s="168"/>
      <c r="EC3" s="168"/>
      <c r="ED3" s="168"/>
      <c r="EE3" s="168"/>
      <c r="EF3" s="168"/>
      <c r="EG3" s="168"/>
      <c r="EH3" s="168"/>
      <c r="EI3" s="168"/>
      <c r="EJ3" s="168"/>
      <c r="EK3" s="168"/>
      <c r="EL3" s="168"/>
      <c r="EM3" s="182"/>
    </row>
    <row r="4" spans="1:143" ht="21" x14ac:dyDescent="0.35">
      <c r="A4" s="116"/>
      <c r="B4" s="254" t="s">
        <v>1</v>
      </c>
      <c r="C4" s="211"/>
      <c r="D4" s="118" t="s">
        <v>4</v>
      </c>
      <c r="E4" s="290"/>
      <c r="F4" s="290"/>
      <c r="G4" s="290"/>
      <c r="H4" s="119" t="s">
        <v>279</v>
      </c>
      <c r="I4" s="319"/>
      <c r="J4" s="320"/>
      <c r="K4" s="291" t="s">
        <v>461</v>
      </c>
      <c r="L4" s="291"/>
      <c r="M4" s="211"/>
      <c r="N4" s="288" t="s">
        <v>324</v>
      </c>
      <c r="O4" s="288"/>
      <c r="P4" s="175" t="e">
        <f>P3/P2</f>
        <v>#DIV/0!</v>
      </c>
      <c r="Q4" s="317" t="s">
        <v>295</v>
      </c>
      <c r="R4" s="293"/>
      <c r="S4" s="200" t="e">
        <f>$AK$18</f>
        <v>#VALUE!</v>
      </c>
      <c r="T4" s="195"/>
      <c r="U4" s="244"/>
      <c r="V4" s="116"/>
      <c r="AA4" s="78" t="s">
        <v>283</v>
      </c>
      <c r="AB4" s="68"/>
      <c r="AC4" s="143" t="s">
        <v>287</v>
      </c>
      <c r="AD4" s="58"/>
      <c r="DO4" s="28"/>
      <c r="DP4" s="260" t="s">
        <v>427</v>
      </c>
      <c r="DQ4" s="260"/>
      <c r="DR4" s="260"/>
      <c r="DS4" s="260"/>
      <c r="DT4" s="260"/>
      <c r="DU4" s="260"/>
      <c r="DV4" s="182"/>
      <c r="DX4" s="31" t="s">
        <v>434</v>
      </c>
      <c r="DY4" s="19"/>
      <c r="DZ4" s="270">
        <f>DE12</f>
        <v>0</v>
      </c>
      <c r="EA4" s="19"/>
      <c r="EB4" s="19"/>
      <c r="EC4" s="274" t="s">
        <v>430</v>
      </c>
      <c r="ED4" s="274"/>
      <c r="EE4" s="274"/>
      <c r="EF4" s="274"/>
      <c r="EG4" s="274"/>
      <c r="EH4" s="274"/>
      <c r="EI4" s="274"/>
      <c r="EJ4" s="19"/>
      <c r="EK4" s="19"/>
      <c r="EL4" s="19"/>
      <c r="EM4" s="32"/>
    </row>
    <row r="5" spans="1:143" x14ac:dyDescent="0.25">
      <c r="A5" s="116"/>
      <c r="B5" s="177" t="s">
        <v>2</v>
      </c>
      <c r="C5" s="312"/>
      <c r="D5" s="312"/>
      <c r="E5" s="312"/>
      <c r="F5" s="312"/>
      <c r="G5" s="312"/>
      <c r="H5" s="122" t="s">
        <v>60</v>
      </c>
      <c r="I5" s="313"/>
      <c r="J5" s="290"/>
      <c r="K5" s="293" t="s">
        <v>290</v>
      </c>
      <c r="L5" s="293"/>
      <c r="M5" s="211" t="s">
        <v>12</v>
      </c>
      <c r="N5" s="314" t="str">
        <f>IF(D14="Sq Yd inch","Thickness (inches):","")</f>
        <v/>
      </c>
      <c r="O5" s="314"/>
      <c r="P5" s="206"/>
      <c r="Q5" s="116"/>
      <c r="R5" s="116"/>
      <c r="S5" s="121"/>
      <c r="T5" s="195"/>
      <c r="U5" s="244"/>
      <c r="V5" s="252" t="str">
        <f>IF($DR$60="Core &lt; 87%","Will Engr.","")</f>
        <v/>
      </c>
      <c r="AA5" t="s">
        <v>284</v>
      </c>
      <c r="AC5" t="s">
        <v>1</v>
      </c>
      <c r="DO5" s="31"/>
      <c r="DP5" s="19"/>
      <c r="DQ5" s="19"/>
      <c r="DR5" s="19"/>
      <c r="DS5" s="19"/>
      <c r="DT5" s="273" t="s">
        <v>425</v>
      </c>
      <c r="DU5" s="19"/>
      <c r="DV5" s="32"/>
      <c r="DX5" s="31"/>
      <c r="DY5" s="19" t="s">
        <v>433</v>
      </c>
      <c r="DZ5" s="21" t="e">
        <f>$AK$18</f>
        <v>#VALUE!</v>
      </c>
      <c r="EA5" s="19"/>
      <c r="EB5" s="19"/>
      <c r="EC5" s="19" t="s">
        <v>442</v>
      </c>
      <c r="ED5" s="19"/>
      <c r="EE5" s="19"/>
      <c r="EF5" s="19"/>
      <c r="EG5" s="19"/>
      <c r="EH5" s="19"/>
      <c r="EI5" s="19"/>
      <c r="EJ5" s="19"/>
      <c r="EK5" s="19"/>
      <c r="EL5" s="19"/>
      <c r="EM5" s="32"/>
    </row>
    <row r="6" spans="1:143" ht="19.5" thickBot="1" x14ac:dyDescent="0.35">
      <c r="A6" s="116"/>
      <c r="B6" s="116"/>
      <c r="C6" s="116"/>
      <c r="D6" s="123" t="str">
        <f>AA70</f>
        <v>SPWEA340C</v>
      </c>
      <c r="E6" s="116"/>
      <c r="F6" s="116"/>
      <c r="G6" s="116"/>
      <c r="H6" s="122" t="s">
        <v>61</v>
      </c>
      <c r="I6" s="313"/>
      <c r="J6" s="290"/>
      <c r="K6" s="293" t="s">
        <v>291</v>
      </c>
      <c r="L6" s="293"/>
      <c r="M6" s="211" t="s">
        <v>13</v>
      </c>
      <c r="N6" s="321" t="str">
        <f>IF(D14="Sq Yd inch","Calc. Density Tons:","")</f>
        <v/>
      </c>
      <c r="O6" s="321"/>
      <c r="P6" s="196" t="str">
        <f>IF(D14="Sq Yd inch",((P5*P3*CZ15)/2000),"")</f>
        <v/>
      </c>
      <c r="Q6" s="316" t="str">
        <f>IF(D14="Sq Yd inch","Density Tons Override:","")</f>
        <v/>
      </c>
      <c r="R6" s="316"/>
      <c r="S6" s="207"/>
      <c r="T6" s="195"/>
      <c r="U6" s="244"/>
      <c r="V6" s="252" t="str">
        <f>IF($DR$60="Core &lt; 87%","Allow Lot ","")</f>
        <v/>
      </c>
      <c r="AA6" t="s">
        <v>285</v>
      </c>
      <c r="AC6" t="s">
        <v>288</v>
      </c>
      <c r="CC6" s="258" t="s">
        <v>85</v>
      </c>
      <c r="DO6" s="31"/>
      <c r="DP6" s="19"/>
      <c r="DQ6" s="19"/>
      <c r="DR6" s="19"/>
      <c r="DS6" s="19"/>
      <c r="DT6" s="273" t="s">
        <v>426</v>
      </c>
      <c r="DU6" s="19"/>
      <c r="DV6" s="32"/>
      <c r="DX6" s="31"/>
      <c r="DY6" s="19"/>
      <c r="DZ6" s="19"/>
      <c r="EA6" s="19"/>
      <c r="EB6" s="19"/>
      <c r="EC6" s="19"/>
      <c r="ED6" s="19"/>
      <c r="EE6" s="19"/>
      <c r="EF6" s="19"/>
      <c r="EG6" s="19"/>
      <c r="EH6" s="19"/>
      <c r="EI6" s="19"/>
      <c r="EJ6" s="19"/>
      <c r="EK6" s="19"/>
      <c r="EL6" s="19"/>
      <c r="EM6" s="32"/>
    </row>
    <row r="7" spans="1:143" ht="15.75" thickBot="1" x14ac:dyDescent="0.3">
      <c r="A7" s="116"/>
      <c r="B7" s="303" t="s">
        <v>5</v>
      </c>
      <c r="C7" s="304"/>
      <c r="D7" s="124" t="str">
        <f>AA17</f>
        <v>SP (Gyratory)</v>
      </c>
      <c r="E7" s="116"/>
      <c r="F7" s="289" t="s">
        <v>152</v>
      </c>
      <c r="G7" s="289"/>
      <c r="H7" s="212"/>
      <c r="I7" s="212"/>
      <c r="J7" s="212"/>
      <c r="K7" s="212"/>
      <c r="L7" s="212"/>
      <c r="M7" s="212"/>
      <c r="N7" s="212"/>
      <c r="O7" s="212"/>
      <c r="P7" s="212"/>
      <c r="Q7" s="212"/>
      <c r="R7" s="212"/>
      <c r="S7" s="212"/>
      <c r="T7" s="195"/>
      <c r="U7" s="244"/>
      <c r="V7" s="252" t="str">
        <f>IF($DR$60="Core &lt; 87%","to Remain","")</f>
        <v/>
      </c>
      <c r="X7" s="194"/>
      <c r="AA7" t="s">
        <v>286</v>
      </c>
      <c r="AC7" t="s">
        <v>289</v>
      </c>
      <c r="BL7" t="s">
        <v>262</v>
      </c>
      <c r="CC7" s="258" t="s">
        <v>86</v>
      </c>
      <c r="DO7" s="31"/>
      <c r="DP7" s="19"/>
      <c r="DQ7" s="19"/>
      <c r="DR7" s="19"/>
      <c r="DS7" s="19"/>
      <c r="DT7" s="255"/>
      <c r="DU7" s="19"/>
      <c r="DV7" s="32"/>
      <c r="DX7" s="31"/>
      <c r="DY7" s="19"/>
      <c r="DZ7" s="19"/>
      <c r="EA7" s="19"/>
      <c r="EB7" s="19"/>
      <c r="EC7" s="19"/>
      <c r="ED7" s="19"/>
      <c r="EE7" s="19"/>
      <c r="EF7" s="19"/>
      <c r="EG7" s="19"/>
      <c r="EH7" s="19"/>
      <c r="EI7" s="19"/>
      <c r="EJ7" s="19"/>
      <c r="EK7" s="19"/>
      <c r="EL7" s="19"/>
      <c r="EM7" s="32"/>
    </row>
    <row r="8" spans="1:143" ht="15.75" thickBot="1" x14ac:dyDescent="0.3">
      <c r="A8" s="116"/>
      <c r="B8" s="303" t="s">
        <v>6</v>
      </c>
      <c r="C8" s="304"/>
      <c r="D8" s="212" t="s">
        <v>45</v>
      </c>
      <c r="E8" s="116"/>
      <c r="F8" s="289" t="s">
        <v>153</v>
      </c>
      <c r="G8" s="289"/>
      <c r="H8" s="212"/>
      <c r="I8" s="212"/>
      <c r="J8" s="212"/>
      <c r="K8" s="212"/>
      <c r="L8" s="212"/>
      <c r="M8" s="212"/>
      <c r="N8" s="212"/>
      <c r="O8" s="212"/>
      <c r="P8" s="212"/>
      <c r="Q8" s="212"/>
      <c r="R8" s="212"/>
      <c r="S8" s="212"/>
      <c r="T8" s="195"/>
      <c r="U8" s="244"/>
      <c r="V8" s="252" t="str">
        <f>IF($DR$60="Core &lt; 87%","inplace @","")</f>
        <v/>
      </c>
      <c r="AI8" t="s">
        <v>165</v>
      </c>
      <c r="AN8" t="s">
        <v>164</v>
      </c>
      <c r="AW8" t="s">
        <v>163</v>
      </c>
      <c r="BL8" s="97" t="s">
        <v>192</v>
      </c>
      <c r="BM8" s="98"/>
      <c r="BN8" s="98"/>
      <c r="BO8" s="98"/>
      <c r="BP8" s="29"/>
      <c r="BQ8" s="29"/>
      <c r="BR8" s="29"/>
      <c r="BS8" s="315" t="s">
        <v>269</v>
      </c>
      <c r="BT8" s="315"/>
      <c r="BU8" s="315"/>
      <c r="BV8" s="315"/>
      <c r="BW8" s="315"/>
      <c r="BX8" s="310" t="s">
        <v>282</v>
      </c>
      <c r="BY8" s="311"/>
      <c r="BZ8" s="311"/>
      <c r="CA8" s="311"/>
      <c r="CB8" s="311"/>
      <c r="CC8" s="258" t="s">
        <v>428</v>
      </c>
      <c r="CD8" s="29" t="s">
        <v>220</v>
      </c>
      <c r="CE8" s="29" t="s">
        <v>220</v>
      </c>
      <c r="CF8" s="29" t="s">
        <v>225</v>
      </c>
      <c r="CG8" s="30"/>
      <c r="CJ8" s="180" t="s">
        <v>311</v>
      </c>
      <c r="CK8" s="179"/>
      <c r="CL8" s="179"/>
      <c r="CM8" s="179"/>
      <c r="CN8" s="179"/>
      <c r="CO8" s="179"/>
      <c r="CP8" s="179"/>
      <c r="CQ8" s="179"/>
      <c r="CR8" s="179"/>
      <c r="CS8" s="179"/>
      <c r="CT8" s="179"/>
      <c r="CX8" s="201" t="s">
        <v>341</v>
      </c>
      <c r="CY8" s="201"/>
      <c r="CZ8" s="201"/>
      <c r="DA8" s="28"/>
      <c r="DB8" s="268" t="s">
        <v>347</v>
      </c>
      <c r="DC8" s="268"/>
      <c r="DD8" s="268"/>
      <c r="DE8" s="268"/>
      <c r="DF8" s="268"/>
      <c r="DG8" s="268"/>
      <c r="DH8" s="268"/>
      <c r="DI8" s="268"/>
      <c r="DJ8" s="268"/>
      <c r="DK8" s="268"/>
      <c r="DL8" s="268"/>
      <c r="DM8" s="269"/>
      <c r="DO8" s="31"/>
      <c r="DP8" s="19"/>
      <c r="DQ8" s="19"/>
      <c r="DR8" s="19"/>
      <c r="DS8" s="19"/>
      <c r="DT8" s="256" t="s">
        <v>12</v>
      </c>
      <c r="DU8" s="19"/>
      <c r="DV8" s="32"/>
      <c r="DX8" s="31"/>
      <c r="DZ8" s="41"/>
      <c r="EA8" s="41"/>
      <c r="EB8" s="41"/>
      <c r="EC8" s="41"/>
      <c r="ED8" s="41"/>
      <c r="EE8" s="41"/>
      <c r="EH8" s="19"/>
      <c r="EI8" s="19"/>
      <c r="EJ8" s="19"/>
      <c r="EK8" s="19"/>
      <c r="EL8" s="19"/>
      <c r="EM8" s="32"/>
    </row>
    <row r="9" spans="1:143" ht="16.5" thickTop="1" thickBot="1" x14ac:dyDescent="0.3">
      <c r="A9" s="116"/>
      <c r="B9" s="303" t="s">
        <v>8</v>
      </c>
      <c r="C9" s="304"/>
      <c r="D9" s="212" t="s">
        <v>46</v>
      </c>
      <c r="E9" s="116"/>
      <c r="F9" s="292" t="s">
        <v>55</v>
      </c>
      <c r="G9" s="292"/>
      <c r="H9" s="176" t="str">
        <f>IF(H8="","",IF(I8="",$CZ$40,I8))</f>
        <v/>
      </c>
      <c r="I9" s="176" t="str">
        <f t="shared" ref="I9:R9" si="0">IF(I8="","",IF(J8="",$CZ$40-I8,J8-I8))</f>
        <v/>
      </c>
      <c r="J9" s="176" t="str">
        <f t="shared" si="0"/>
        <v/>
      </c>
      <c r="K9" s="176" t="str">
        <f t="shared" si="0"/>
        <v/>
      </c>
      <c r="L9" s="176" t="str">
        <f t="shared" si="0"/>
        <v/>
      </c>
      <c r="M9" s="176" t="str">
        <f t="shared" si="0"/>
        <v/>
      </c>
      <c r="N9" s="176" t="str">
        <f t="shared" si="0"/>
        <v/>
      </c>
      <c r="O9" s="176" t="str">
        <f t="shared" si="0"/>
        <v/>
      </c>
      <c r="P9" s="176" t="str">
        <f t="shared" si="0"/>
        <v/>
      </c>
      <c r="Q9" s="176" t="str">
        <f t="shared" si="0"/>
        <v/>
      </c>
      <c r="R9" s="176" t="str">
        <f t="shared" si="0"/>
        <v/>
      </c>
      <c r="S9" s="176" t="str">
        <f>IF(S8="","",IF(#REF!="",$CZ$40-S8,#REF!-S8))</f>
        <v/>
      </c>
      <c r="T9" s="195"/>
      <c r="U9" s="244"/>
      <c r="V9" s="252" t="str">
        <f>IF($DR$60="Core &lt; 87%","50% pay","")</f>
        <v/>
      </c>
      <c r="AI9" s="15"/>
      <c r="AJ9" s="16"/>
      <c r="AK9" s="17"/>
      <c r="AN9" s="91" t="s">
        <v>270</v>
      </c>
      <c r="AO9" s="92"/>
      <c r="AP9" s="92"/>
      <c r="AQ9" s="92"/>
      <c r="AR9" s="92"/>
      <c r="AS9" s="92"/>
      <c r="AT9" s="92"/>
      <c r="AU9" s="93"/>
      <c r="AW9" s="28"/>
      <c r="AX9" s="29"/>
      <c r="AY9" s="29"/>
      <c r="AZ9" s="29"/>
      <c r="BA9" s="29"/>
      <c r="BB9" s="29"/>
      <c r="BC9" s="29"/>
      <c r="BD9" s="29"/>
      <c r="BE9" s="29"/>
      <c r="BF9" s="29"/>
      <c r="BG9" s="29"/>
      <c r="BH9" s="29"/>
      <c r="BI9" s="30"/>
      <c r="BL9" s="31" t="s">
        <v>224</v>
      </c>
      <c r="BM9" s="19" t="str">
        <f>AD76</f>
        <v>No</v>
      </c>
      <c r="BN9" s="19"/>
      <c r="BO9" s="19"/>
      <c r="BP9" s="19"/>
      <c r="BQ9" s="19"/>
      <c r="BR9" s="19"/>
      <c r="BS9" s="19"/>
      <c r="BT9" s="19" t="s">
        <v>214</v>
      </c>
      <c r="BU9" s="19" t="s">
        <v>214</v>
      </c>
      <c r="BV9" s="19" t="s">
        <v>215</v>
      </c>
      <c r="BW9" s="19" t="s">
        <v>219</v>
      </c>
      <c r="BX9" s="41" t="s">
        <v>273</v>
      </c>
      <c r="BY9" s="19" t="s">
        <v>214</v>
      </c>
      <c r="BZ9" s="19" t="s">
        <v>214</v>
      </c>
      <c r="CA9" s="19" t="s">
        <v>215</v>
      </c>
      <c r="CB9" s="19" t="s">
        <v>219</v>
      </c>
      <c r="CC9" t="s">
        <v>429</v>
      </c>
      <c r="CD9" s="19" t="s">
        <v>214</v>
      </c>
      <c r="CE9" s="19" t="s">
        <v>215</v>
      </c>
      <c r="CF9" s="44">
        <v>0.01</v>
      </c>
      <c r="CG9" s="32"/>
      <c r="DA9" s="31"/>
      <c r="DB9" s="19"/>
      <c r="DC9" s="19"/>
      <c r="DD9" s="19"/>
      <c r="DE9" s="19"/>
      <c r="DF9" s="19"/>
      <c r="DG9" s="19"/>
      <c r="DH9" s="19"/>
      <c r="DI9" s="19"/>
      <c r="DJ9" s="19"/>
      <c r="DK9" s="19"/>
      <c r="DL9" s="19"/>
      <c r="DM9" s="32"/>
      <c r="DO9" s="31"/>
      <c r="DP9" s="261"/>
      <c r="DQ9" s="261"/>
      <c r="DR9" s="261"/>
      <c r="DS9" s="261"/>
      <c r="DT9" s="257" t="s">
        <v>13</v>
      </c>
      <c r="DU9" s="261"/>
      <c r="DV9" s="32"/>
      <c r="DX9" s="31"/>
      <c r="DY9" s="19"/>
      <c r="DZ9" s="19"/>
      <c r="EA9" s="19"/>
      <c r="EB9" s="19"/>
      <c r="EC9" s="19"/>
      <c r="ED9" s="19"/>
      <c r="EE9" s="19"/>
      <c r="EH9" s="19"/>
      <c r="EI9" s="19"/>
      <c r="EJ9" s="19"/>
      <c r="EK9" s="19"/>
      <c r="EL9" s="19"/>
      <c r="EM9" s="32"/>
    </row>
    <row r="10" spans="1:143" ht="15.75" thickBot="1" x14ac:dyDescent="0.3">
      <c r="A10" s="116"/>
      <c r="B10" s="303" t="s">
        <v>51</v>
      </c>
      <c r="C10" s="304"/>
      <c r="D10" s="213" t="s">
        <v>28</v>
      </c>
      <c r="E10" s="116"/>
      <c r="F10" s="289" t="s">
        <v>56</v>
      </c>
      <c r="G10" s="289"/>
      <c r="H10" s="176" t="str">
        <f>IF(ISNUMBER(H9),H9*$P$4,"")</f>
        <v/>
      </c>
      <c r="I10" s="176" t="str">
        <f t="shared" ref="I10:S10" si="1">IF(ISNUMBER(I9),I9*$P$4,"")</f>
        <v/>
      </c>
      <c r="J10" s="176" t="str">
        <f t="shared" si="1"/>
        <v/>
      </c>
      <c r="K10" s="176" t="str">
        <f t="shared" si="1"/>
        <v/>
      </c>
      <c r="L10" s="176" t="str">
        <f t="shared" si="1"/>
        <v/>
      </c>
      <c r="M10" s="176" t="str">
        <f t="shared" si="1"/>
        <v/>
      </c>
      <c r="N10" s="176" t="str">
        <f t="shared" si="1"/>
        <v/>
      </c>
      <c r="O10" s="176" t="str">
        <f t="shared" si="1"/>
        <v/>
      </c>
      <c r="P10" s="176" t="str">
        <f t="shared" si="1"/>
        <v/>
      </c>
      <c r="Q10" s="176" t="str">
        <f t="shared" si="1"/>
        <v/>
      </c>
      <c r="R10" s="176" t="str">
        <f t="shared" si="1"/>
        <v/>
      </c>
      <c r="S10" s="176" t="str">
        <f t="shared" si="1"/>
        <v/>
      </c>
      <c r="T10" s="192"/>
      <c r="U10" s="116"/>
      <c r="V10" s="252" t="str">
        <f>IF($DR$60="Core &lt; 87%","instead of","")</f>
        <v/>
      </c>
      <c r="AI10" s="18"/>
      <c r="AJ10" s="19"/>
      <c r="AK10" s="20"/>
      <c r="AN10" s="18"/>
      <c r="AO10" s="19"/>
      <c r="AP10" s="19"/>
      <c r="AQ10" s="19"/>
      <c r="AR10" s="19"/>
      <c r="AS10" s="19"/>
      <c r="AT10" s="19"/>
      <c r="AU10" s="20"/>
      <c r="AW10" s="31"/>
      <c r="AX10" s="19"/>
      <c r="AY10" s="19"/>
      <c r="AZ10" s="19"/>
      <c r="BA10" s="19"/>
      <c r="BB10" s="19"/>
      <c r="BC10" s="19"/>
      <c r="BD10" s="19"/>
      <c r="BE10" s="19"/>
      <c r="BF10" s="19"/>
      <c r="BG10" s="19"/>
      <c r="BH10" s="19"/>
      <c r="BI10" s="32"/>
      <c r="BL10" s="31" t="s">
        <v>109</v>
      </c>
      <c r="BM10" s="19" t="str">
        <f>AO16</f>
        <v>Table A</v>
      </c>
      <c r="BN10" s="19"/>
      <c r="BO10" s="19"/>
      <c r="BP10" s="19"/>
      <c r="BQ10" s="19"/>
      <c r="BR10" s="19"/>
      <c r="BS10" s="19"/>
      <c r="BT10" s="19" t="s">
        <v>218</v>
      </c>
      <c r="BU10" s="19" t="s">
        <v>218</v>
      </c>
      <c r="BV10" s="19" t="s">
        <v>218</v>
      </c>
      <c r="BW10" s="19" t="s">
        <v>218</v>
      </c>
      <c r="BX10" s="41" t="s">
        <v>222</v>
      </c>
      <c r="BY10" s="19" t="s">
        <v>218</v>
      </c>
      <c r="BZ10" s="19" t="s">
        <v>218</v>
      </c>
      <c r="CA10" s="19" t="s">
        <v>218</v>
      </c>
      <c r="CB10" s="19" t="s">
        <v>218</v>
      </c>
      <c r="CC10" t="s">
        <v>444</v>
      </c>
      <c r="CD10" s="19" t="s">
        <v>218</v>
      </c>
      <c r="CE10" s="19" t="s">
        <v>218</v>
      </c>
      <c r="CF10" s="19" t="s">
        <v>226</v>
      </c>
      <c r="CG10" s="32"/>
      <c r="CI10" s="28">
        <v>1</v>
      </c>
      <c r="CJ10" s="167">
        <f>IF(ROUND(CI10,0)-CI10=0.5,IF(EVEN(CI10)-CI10=1.5,EVEN(CI10)-2,EVEN(CI10)),ROUND(CI10,0))</f>
        <v>1</v>
      </c>
      <c r="CK10" s="168"/>
      <c r="CL10" s="168"/>
      <c r="CM10" s="168"/>
      <c r="CN10" s="168"/>
      <c r="CO10" s="168"/>
      <c r="CP10" s="168"/>
      <c r="CQ10" s="168"/>
      <c r="CR10" s="168"/>
      <c r="CS10" s="168"/>
      <c r="CT10" s="168"/>
      <c r="CU10" s="168"/>
      <c r="CV10" s="169"/>
      <c r="CX10" s="28" t="s">
        <v>342</v>
      </c>
      <c r="CY10" s="168"/>
      <c r="CZ10" s="267" t="e">
        <f>H14</f>
        <v>#DIV/0!</v>
      </c>
      <c r="DA10" s="31"/>
      <c r="DB10" s="19" t="s">
        <v>348</v>
      </c>
      <c r="DC10" s="19"/>
      <c r="DD10" s="19"/>
      <c r="DE10" s="19" t="str">
        <f>D14</f>
        <v>Tons</v>
      </c>
      <c r="DF10" s="19"/>
      <c r="DG10" s="19"/>
      <c r="DH10" s="19"/>
      <c r="DI10" s="19"/>
      <c r="DJ10" s="19"/>
      <c r="DK10" s="19"/>
      <c r="DL10" s="19"/>
      <c r="DM10" s="32"/>
      <c r="DO10" s="31"/>
      <c r="DP10" s="261"/>
      <c r="DQ10" s="261"/>
      <c r="DR10" s="261" t="s">
        <v>411</v>
      </c>
      <c r="DS10" s="261"/>
      <c r="DT10" s="261"/>
      <c r="DU10" s="261"/>
      <c r="DV10" s="32"/>
      <c r="DX10" s="31"/>
      <c r="DY10" s="19"/>
      <c r="DZ10" s="19"/>
      <c r="EA10" s="19"/>
      <c r="EB10" s="19"/>
      <c r="EC10" t="s">
        <v>436</v>
      </c>
      <c r="ED10" t="s">
        <v>437</v>
      </c>
      <c r="EE10" t="s">
        <v>436</v>
      </c>
      <c r="EF10" t="s">
        <v>437</v>
      </c>
      <c r="EG10" t="s">
        <v>436</v>
      </c>
      <c r="EH10" t="s">
        <v>437</v>
      </c>
      <c r="EI10" t="s">
        <v>436</v>
      </c>
      <c r="EJ10" t="s">
        <v>437</v>
      </c>
      <c r="EK10" s="19"/>
      <c r="EL10" s="19"/>
      <c r="EM10" s="32"/>
    </row>
    <row r="11" spans="1:143" ht="15.75" thickBot="1" x14ac:dyDescent="0.3">
      <c r="A11" s="116"/>
      <c r="B11" s="303" t="s">
        <v>31</v>
      </c>
      <c r="C11" s="304"/>
      <c r="D11" s="214" t="s">
        <v>53</v>
      </c>
      <c r="E11" s="116"/>
      <c r="F11" s="322" t="s">
        <v>57</v>
      </c>
      <c r="G11" s="322"/>
      <c r="H11" s="247"/>
      <c r="I11" s="247"/>
      <c r="J11" s="247"/>
      <c r="K11" s="247"/>
      <c r="L11" s="247"/>
      <c r="M11" s="247"/>
      <c r="N11" s="247"/>
      <c r="O11" s="247"/>
      <c r="P11" s="247"/>
      <c r="Q11" s="247"/>
      <c r="R11" s="247"/>
      <c r="S11" s="247"/>
      <c r="T11" s="192"/>
      <c r="U11" s="116"/>
      <c r="V11" s="252" t="str">
        <f>IF($DR$60="Core &lt; 87%","R/R per","")</f>
        <v/>
      </c>
      <c r="AI11" s="18"/>
      <c r="AJ11" s="19"/>
      <c r="AK11" s="20"/>
      <c r="AN11" s="18" t="s">
        <v>7</v>
      </c>
      <c r="AO11" s="19" t="str">
        <f>AE24</f>
        <v>WE</v>
      </c>
      <c r="AP11" s="19"/>
      <c r="AQ11" s="19"/>
      <c r="AR11" s="19"/>
      <c r="AS11" s="19"/>
      <c r="AT11" s="19"/>
      <c r="AU11" s="20"/>
      <c r="AW11" s="31"/>
      <c r="AX11" s="19"/>
      <c r="AY11" s="19"/>
      <c r="AZ11" s="19"/>
      <c r="BA11" s="19"/>
      <c r="BB11" s="19"/>
      <c r="BC11" s="19"/>
      <c r="BD11" s="19"/>
      <c r="BE11" s="19"/>
      <c r="BF11" s="19"/>
      <c r="BG11" s="19"/>
      <c r="BH11" s="19"/>
      <c r="BI11" s="32"/>
      <c r="BL11" s="31" t="s">
        <v>193</v>
      </c>
      <c r="BM11" s="19">
        <f>AE40</f>
        <v>3</v>
      </c>
      <c r="BN11" s="19"/>
      <c r="BO11" s="19"/>
      <c r="BP11" s="19"/>
      <c r="BQ11" s="19"/>
      <c r="BR11" s="19"/>
      <c r="BS11" s="19"/>
      <c r="BT11" s="19"/>
      <c r="BU11" s="19"/>
      <c r="BV11" s="19"/>
      <c r="BW11" s="19"/>
      <c r="BX11" s="19"/>
      <c r="BY11" s="19"/>
      <c r="BZ11" s="19"/>
      <c r="CA11" s="19"/>
      <c r="CB11" s="19"/>
      <c r="CD11" s="19"/>
      <c r="CE11" s="19"/>
      <c r="CF11" s="19" t="s">
        <v>227</v>
      </c>
      <c r="CG11" s="32" t="s">
        <v>222</v>
      </c>
      <c r="CI11" s="31">
        <v>0.1</v>
      </c>
      <c r="CJ11" s="144">
        <f>IF(ROUND((CI11*10),0)-(CI11*10)=0.5,IF(EVEN((CI11*10))-(CI11*10)=1.5,(EVEN((CI11*10))-2)/10,EVEN((CI11*10))/10),ROUND(CI11,1))</f>
        <v>0.1</v>
      </c>
      <c r="CK11" s="19"/>
      <c r="CL11" s="19"/>
      <c r="CM11" s="19"/>
      <c r="CN11" s="19"/>
      <c r="CO11" s="19"/>
      <c r="CP11" s="19"/>
      <c r="CQ11" s="19"/>
      <c r="CR11" s="19"/>
      <c r="CS11" s="19"/>
      <c r="CT11" s="19"/>
      <c r="CU11" s="19"/>
      <c r="CV11" s="32"/>
      <c r="CX11" s="31" t="s">
        <v>343</v>
      </c>
      <c r="CY11" s="19"/>
      <c r="CZ11" s="19">
        <v>62.3</v>
      </c>
      <c r="DA11" s="31"/>
      <c r="DB11" s="19" t="s">
        <v>94</v>
      </c>
      <c r="DC11" s="19"/>
      <c r="DD11" s="19"/>
      <c r="DE11" s="19" t="str">
        <f>AK43</f>
        <v>See Table 2360-21</v>
      </c>
      <c r="DF11" s="19"/>
      <c r="DG11" s="19"/>
      <c r="DH11" s="19"/>
      <c r="DI11" s="19"/>
      <c r="DJ11" s="19"/>
      <c r="DK11" s="19"/>
      <c r="DL11" s="19"/>
      <c r="DM11" s="32"/>
      <c r="DO11" s="31"/>
      <c r="DP11" s="261"/>
      <c r="DQ11" s="261"/>
      <c r="DR11" s="261" t="s">
        <v>84</v>
      </c>
      <c r="DS11" s="261"/>
      <c r="DT11" s="261"/>
      <c r="DU11" s="261"/>
      <c r="DV11" s="32"/>
      <c r="DX11" s="31"/>
      <c r="DY11" s="19" t="s">
        <v>174</v>
      </c>
      <c r="DZ11" s="19" t="s">
        <v>174</v>
      </c>
      <c r="EA11" s="19" t="s">
        <v>431</v>
      </c>
      <c r="EB11" s="19" t="s">
        <v>431</v>
      </c>
      <c r="EC11" s="19" t="s">
        <v>174</v>
      </c>
      <c r="ED11" s="19" t="s">
        <v>174</v>
      </c>
      <c r="EE11" s="19" t="s">
        <v>431</v>
      </c>
      <c r="EF11" s="19" t="s">
        <v>431</v>
      </c>
      <c r="EG11" s="19" t="s">
        <v>174</v>
      </c>
      <c r="EH11" s="19" t="s">
        <v>174</v>
      </c>
      <c r="EI11" s="19" t="s">
        <v>431</v>
      </c>
      <c r="EJ11" s="19" t="s">
        <v>431</v>
      </c>
      <c r="EK11" s="19"/>
      <c r="EL11" s="19"/>
      <c r="EM11" s="32"/>
    </row>
    <row r="12" spans="1:143" ht="15.75" thickBot="1" x14ac:dyDescent="0.3">
      <c r="A12" s="116"/>
      <c r="B12" s="303" t="s">
        <v>10</v>
      </c>
      <c r="C12" s="304"/>
      <c r="D12" s="212" t="s">
        <v>38</v>
      </c>
      <c r="E12" s="116"/>
      <c r="F12" s="289" t="s">
        <v>58</v>
      </c>
      <c r="G12" s="289"/>
      <c r="H12" s="212"/>
      <c r="I12" s="212"/>
      <c r="J12" s="212"/>
      <c r="K12" s="238"/>
      <c r="L12" s="238"/>
      <c r="M12" s="238"/>
      <c r="N12" s="238"/>
      <c r="O12" s="238"/>
      <c r="P12" s="238"/>
      <c r="Q12" s="238"/>
      <c r="R12" s="238"/>
      <c r="S12" s="238"/>
      <c r="T12" s="192"/>
      <c r="U12" s="116"/>
      <c r="V12" s="252" t="str">
        <f>IF($DR$60="Core &lt; 87%","Table","")</f>
        <v/>
      </c>
      <c r="AI12" s="18"/>
      <c r="AJ12" s="19"/>
      <c r="AK12" s="20"/>
      <c r="AN12" s="18" t="s">
        <v>52</v>
      </c>
      <c r="AO12" s="19" t="str">
        <f>AC65</f>
        <v>No</v>
      </c>
      <c r="AP12" s="19"/>
      <c r="AQ12" s="19"/>
      <c r="AR12" s="19"/>
      <c r="AS12" s="19"/>
      <c r="AT12" s="19"/>
      <c r="AU12" s="20"/>
      <c r="AW12" s="31"/>
      <c r="AX12" s="19"/>
      <c r="AY12" s="19"/>
      <c r="AZ12" s="19"/>
      <c r="BA12" s="19"/>
      <c r="BB12" s="19"/>
      <c r="BC12" s="19"/>
      <c r="BD12" s="19"/>
      <c r="BE12" s="19"/>
      <c r="BF12" s="19"/>
      <c r="BG12" s="19"/>
      <c r="BH12" s="19"/>
      <c r="BI12" s="32"/>
      <c r="BL12" s="31" t="s">
        <v>194</v>
      </c>
      <c r="BM12" s="19" t="str">
        <f>IF(OR(BM11=2,BM11=3),"Traffic 2/3","Traffic 4/5")</f>
        <v>Traffic 2/3</v>
      </c>
      <c r="BN12" s="19"/>
      <c r="BO12" s="19"/>
      <c r="BP12" s="19"/>
      <c r="BQ12" s="19"/>
      <c r="BR12" s="19"/>
      <c r="BS12" s="19" t="s">
        <v>84</v>
      </c>
      <c r="BT12" s="19" t="s">
        <v>191</v>
      </c>
      <c r="BU12" s="19" t="s">
        <v>191</v>
      </c>
      <c r="BV12" s="19" t="s">
        <v>191</v>
      </c>
      <c r="BW12" s="19" t="s">
        <v>191</v>
      </c>
      <c r="BX12" s="19" t="s">
        <v>84</v>
      </c>
      <c r="BY12" s="19" t="s">
        <v>191</v>
      </c>
      <c r="BZ12" s="19" t="s">
        <v>191</v>
      </c>
      <c r="CA12" s="19" t="s">
        <v>191</v>
      </c>
      <c r="CB12" s="19" t="s">
        <v>191</v>
      </c>
      <c r="CC12" s="19" t="s">
        <v>84</v>
      </c>
      <c r="CD12" s="19" t="s">
        <v>146</v>
      </c>
      <c r="CE12" s="19" t="s">
        <v>146</v>
      </c>
      <c r="CF12" s="19" t="s">
        <v>146</v>
      </c>
      <c r="CG12" s="32" t="s">
        <v>220</v>
      </c>
      <c r="CI12" s="31">
        <v>0.01</v>
      </c>
      <c r="CJ12" s="144">
        <f>IF(ROUND((CI12*100),0)-(CI12*100)=0.5,IF(EVEN((CI12*100))-(CI12*100)=1.5,(EVEN((CI12*100))-2)/100,EVEN((CI12*100))/100),ROUND(CI12,2))</f>
        <v>0.01</v>
      </c>
      <c r="CK12" s="19"/>
      <c r="CL12" s="19"/>
      <c r="CM12" s="19"/>
      <c r="CN12" s="19"/>
      <c r="CO12" s="19"/>
      <c r="CP12" s="19"/>
      <c r="CQ12" s="19"/>
      <c r="CR12" s="19"/>
      <c r="CS12" s="19"/>
      <c r="CT12" s="19"/>
      <c r="CU12" s="19"/>
      <c r="CV12" s="32"/>
      <c r="CX12" s="31" t="s">
        <v>344</v>
      </c>
      <c r="CY12" s="19"/>
      <c r="CZ12" s="19">
        <v>0.93</v>
      </c>
      <c r="DA12" s="31"/>
      <c r="DB12" s="19" t="str">
        <f>K3</f>
        <v>Bid Price ($/ton)</v>
      </c>
      <c r="DC12" s="19"/>
      <c r="DD12" s="19"/>
      <c r="DE12" s="270">
        <f>M3</f>
        <v>0</v>
      </c>
      <c r="DF12" s="19"/>
      <c r="DG12" s="19"/>
      <c r="DH12" s="19"/>
      <c r="DI12" s="19"/>
      <c r="DJ12" s="19"/>
      <c r="DK12" s="19"/>
      <c r="DL12" s="19"/>
      <c r="DM12" s="32"/>
      <c r="DO12" s="31"/>
      <c r="DP12" s="261"/>
      <c r="DQ12" s="261"/>
      <c r="DR12" s="261" t="s">
        <v>68</v>
      </c>
      <c r="DS12" s="261" t="s">
        <v>85</v>
      </c>
      <c r="DT12" s="261" t="s">
        <v>414</v>
      </c>
      <c r="DU12" s="261"/>
      <c r="DV12" s="32"/>
      <c r="DX12" s="31"/>
      <c r="DY12" s="19" t="s">
        <v>191</v>
      </c>
      <c r="DZ12" s="19" t="s">
        <v>191</v>
      </c>
      <c r="EA12" s="19" t="s">
        <v>191</v>
      </c>
      <c r="EB12" s="19" t="s">
        <v>191</v>
      </c>
      <c r="EC12" s="19" t="s">
        <v>191</v>
      </c>
      <c r="ED12" s="19" t="s">
        <v>191</v>
      </c>
      <c r="EE12" s="19" t="s">
        <v>191</v>
      </c>
      <c r="EF12" s="19" t="s">
        <v>191</v>
      </c>
      <c r="EG12" s="19" t="s">
        <v>146</v>
      </c>
      <c r="EH12" s="19" t="s">
        <v>146</v>
      </c>
      <c r="EI12" s="19" t="s">
        <v>146</v>
      </c>
      <c r="EJ12" s="19" t="s">
        <v>146</v>
      </c>
      <c r="EK12" s="19"/>
      <c r="EL12" s="19"/>
      <c r="EM12" s="32"/>
    </row>
    <row r="13" spans="1:143" ht="15.75" thickBot="1" x14ac:dyDescent="0.3">
      <c r="A13" s="116"/>
      <c r="B13" s="303" t="s">
        <v>11</v>
      </c>
      <c r="C13" s="304"/>
      <c r="D13" s="212" t="s">
        <v>12</v>
      </c>
      <c r="E13" s="116"/>
      <c r="F13" s="289" t="s">
        <v>59</v>
      </c>
      <c r="G13" s="289"/>
      <c r="H13" s="238"/>
      <c r="I13" s="238"/>
      <c r="J13" s="238"/>
      <c r="K13" s="238"/>
      <c r="L13" s="238"/>
      <c r="M13" s="238"/>
      <c r="N13" s="238"/>
      <c r="O13" s="238"/>
      <c r="P13" s="238"/>
      <c r="Q13" s="238"/>
      <c r="R13" s="238"/>
      <c r="S13" s="238"/>
      <c r="T13" s="116"/>
      <c r="U13" s="116"/>
      <c r="V13" s="252" t="str">
        <f>IF($DR$60="Core &lt; 87%","2360-22&amp;23","")</f>
        <v/>
      </c>
      <c r="AI13" s="88" t="s">
        <v>89</v>
      </c>
      <c r="AJ13" s="89"/>
      <c r="AK13" s="90"/>
      <c r="AN13" s="18" t="s">
        <v>106</v>
      </c>
      <c r="AO13" s="21">
        <f>AC46</f>
        <v>40</v>
      </c>
      <c r="AP13" s="19"/>
      <c r="AQ13" s="19"/>
      <c r="AR13" s="19"/>
      <c r="AS13" s="19"/>
      <c r="AT13" s="19"/>
      <c r="AU13" s="20"/>
      <c r="AW13" s="31"/>
      <c r="AX13" s="19"/>
      <c r="AY13" s="19"/>
      <c r="AZ13" s="19"/>
      <c r="BA13" s="19"/>
      <c r="BB13" s="19"/>
      <c r="BC13" s="19"/>
      <c r="BD13" s="19"/>
      <c r="BE13" s="19"/>
      <c r="BF13" s="19"/>
      <c r="BG13" s="19"/>
      <c r="BH13" s="19"/>
      <c r="BI13" s="32"/>
      <c r="BL13" s="31"/>
      <c r="BM13" s="19"/>
      <c r="BN13" s="19" t="s">
        <v>111</v>
      </c>
      <c r="BO13" s="19" t="s">
        <v>112</v>
      </c>
      <c r="BP13" s="19" t="s">
        <v>115</v>
      </c>
      <c r="BQ13" s="19" t="s">
        <v>116</v>
      </c>
      <c r="BR13" s="19"/>
      <c r="BS13" s="19" t="s">
        <v>85</v>
      </c>
      <c r="BT13" s="19" t="s">
        <v>85</v>
      </c>
      <c r="BU13" s="19" t="s">
        <v>85</v>
      </c>
      <c r="BV13" s="19" t="s">
        <v>85</v>
      </c>
      <c r="BW13" s="19" t="s">
        <v>85</v>
      </c>
      <c r="BX13" s="19" t="s">
        <v>85</v>
      </c>
      <c r="BY13" s="19" t="s">
        <v>85</v>
      </c>
      <c r="BZ13" s="19" t="s">
        <v>85</v>
      </c>
      <c r="CA13" s="19" t="s">
        <v>85</v>
      </c>
      <c r="CB13" s="19" t="s">
        <v>85</v>
      </c>
      <c r="CC13" s="19" t="s">
        <v>85</v>
      </c>
      <c r="CD13" s="19" t="s">
        <v>85</v>
      </c>
      <c r="CE13" s="19" t="s">
        <v>85</v>
      </c>
      <c r="CF13" s="19" t="s">
        <v>85</v>
      </c>
      <c r="CG13" s="32" t="s">
        <v>223</v>
      </c>
      <c r="CI13" s="31">
        <v>1E-3</v>
      </c>
      <c r="CJ13" s="145">
        <f>IF(ROUND((CI13*1000),0)-(CI13*1000)=0.5,IF(EVEN((CI13*1000))-(CI13*1000)=1.5,(EVEN((CI13*1000))-2)/1000,EVEN((CI13*1000))/1000),ROUND(CI13,3))</f>
        <v>1E-3</v>
      </c>
      <c r="CK13" s="19"/>
      <c r="CL13" s="19"/>
      <c r="CM13" s="19"/>
      <c r="CN13" s="19"/>
      <c r="CO13" s="19"/>
      <c r="CP13" s="19"/>
      <c r="CQ13" s="19"/>
      <c r="CR13" s="19" t="s">
        <v>313</v>
      </c>
      <c r="CS13" s="19"/>
      <c r="CT13" s="19"/>
      <c r="CU13" s="19"/>
      <c r="CV13" s="32"/>
      <c r="CX13" s="31"/>
      <c r="CY13" s="19"/>
      <c r="CZ13" s="19"/>
      <c r="DA13" s="31"/>
      <c r="DB13" s="19"/>
      <c r="DC13" s="19"/>
      <c r="DD13" s="19"/>
      <c r="DE13" s="19"/>
      <c r="DF13" s="19"/>
      <c r="DG13" s="19"/>
      <c r="DH13" s="19"/>
      <c r="DI13" s="19"/>
      <c r="DJ13" s="19"/>
      <c r="DK13" s="19"/>
      <c r="DM13" s="32"/>
      <c r="DO13" s="31"/>
      <c r="DP13" s="261"/>
      <c r="DQ13" s="261" t="s">
        <v>68</v>
      </c>
      <c r="DR13" s="261" t="s">
        <v>412</v>
      </c>
      <c r="DS13" s="261" t="s">
        <v>86</v>
      </c>
      <c r="DT13" s="261" t="s">
        <v>415</v>
      </c>
      <c r="DU13" s="261" t="s">
        <v>423</v>
      </c>
      <c r="DV13" s="32"/>
      <c r="DX13" s="31"/>
      <c r="DY13" s="19" t="s">
        <v>85</v>
      </c>
      <c r="DZ13" s="19" t="s">
        <v>85</v>
      </c>
      <c r="EA13" s="19" t="s">
        <v>85</v>
      </c>
      <c r="EB13" s="19" t="s">
        <v>85</v>
      </c>
      <c r="EC13" s="19" t="s">
        <v>85</v>
      </c>
      <c r="ED13" s="19" t="s">
        <v>85</v>
      </c>
      <c r="EE13" s="19" t="s">
        <v>85</v>
      </c>
      <c r="EF13" s="19" t="s">
        <v>85</v>
      </c>
      <c r="EG13" s="19" t="s">
        <v>85</v>
      </c>
      <c r="EH13" s="19" t="s">
        <v>85</v>
      </c>
      <c r="EI13" s="19" t="s">
        <v>85</v>
      </c>
      <c r="EJ13" s="19" t="s">
        <v>85</v>
      </c>
      <c r="EK13" s="19"/>
      <c r="EL13" s="19"/>
      <c r="EM13" s="32"/>
    </row>
    <row r="14" spans="1:143" ht="16.5" thickBot="1" x14ac:dyDescent="0.3">
      <c r="A14" s="116"/>
      <c r="B14" s="303" t="s">
        <v>300</v>
      </c>
      <c r="C14" s="304"/>
      <c r="D14" s="212" t="s">
        <v>63</v>
      </c>
      <c r="E14" s="116"/>
      <c r="F14" s="307" t="s">
        <v>296</v>
      </c>
      <c r="G14" s="307"/>
      <c r="H14" s="160" t="e">
        <f>AQ120</f>
        <v>#DIV/0!</v>
      </c>
      <c r="I14" s="116"/>
      <c r="J14" s="308" t="s">
        <v>297</v>
      </c>
      <c r="K14" s="308"/>
      <c r="L14" s="125">
        <f>BM66</f>
        <v>4</v>
      </c>
      <c r="M14" s="308" t="s">
        <v>298</v>
      </c>
      <c r="N14" s="308"/>
      <c r="O14" s="125">
        <f>BM67</f>
        <v>3.5</v>
      </c>
      <c r="P14" s="305" t="s">
        <v>299</v>
      </c>
      <c r="Q14" s="305"/>
      <c r="R14" s="305"/>
      <c r="S14" s="125" t="e">
        <f>BU74</f>
        <v>#DIV/0!</v>
      </c>
      <c r="T14" s="116"/>
      <c r="U14" s="116"/>
      <c r="V14" s="252" t="str">
        <f>IF($DR$60="Core &lt; 87%","?","")</f>
        <v/>
      </c>
      <c r="AA14" s="47" t="s">
        <v>14</v>
      </c>
      <c r="AB14" s="48"/>
      <c r="AC14" s="49"/>
      <c r="AD14" s="48"/>
      <c r="AE14" s="48"/>
      <c r="AF14" s="48"/>
      <c r="AI14" s="18"/>
      <c r="AJ14" s="19"/>
      <c r="AK14" s="20"/>
      <c r="AN14" s="18" t="s">
        <v>9</v>
      </c>
      <c r="AO14" s="19">
        <f>AE40</f>
        <v>3</v>
      </c>
      <c r="AP14" s="19"/>
      <c r="AQ14" s="19"/>
      <c r="AR14" s="19"/>
      <c r="AS14" s="19"/>
      <c r="AT14" s="19"/>
      <c r="AU14" s="20"/>
      <c r="AW14" s="31"/>
      <c r="AX14" s="19"/>
      <c r="AY14" s="19"/>
      <c r="AZ14" s="19"/>
      <c r="BA14" s="19"/>
      <c r="BB14" s="19"/>
      <c r="BC14" s="19"/>
      <c r="BD14" s="19"/>
      <c r="BE14" s="19"/>
      <c r="BF14" s="19"/>
      <c r="BG14" s="19"/>
      <c r="BH14" s="19"/>
      <c r="BI14" s="32"/>
      <c r="BL14" s="31"/>
      <c r="BM14" s="19"/>
      <c r="BN14" s="19" t="s">
        <v>85</v>
      </c>
      <c r="BO14" s="19" t="s">
        <v>85</v>
      </c>
      <c r="BP14" s="19" t="s">
        <v>85</v>
      </c>
      <c r="BQ14" s="19" t="s">
        <v>85</v>
      </c>
      <c r="BR14" s="19"/>
      <c r="BS14" s="19" t="s">
        <v>86</v>
      </c>
      <c r="BT14" s="19" t="s">
        <v>86</v>
      </c>
      <c r="BU14" s="19" t="s">
        <v>86</v>
      </c>
      <c r="BV14" s="19" t="s">
        <v>86</v>
      </c>
      <c r="BW14" s="19" t="s">
        <v>86</v>
      </c>
      <c r="BX14" s="19" t="s">
        <v>86</v>
      </c>
      <c r="BY14" s="19" t="s">
        <v>86</v>
      </c>
      <c r="BZ14" s="19" t="s">
        <v>86</v>
      </c>
      <c r="CA14" s="19" t="s">
        <v>86</v>
      </c>
      <c r="CB14" s="19" t="s">
        <v>86</v>
      </c>
      <c r="CC14" s="19" t="s">
        <v>86</v>
      </c>
      <c r="CD14" s="19" t="s">
        <v>86</v>
      </c>
      <c r="CE14" s="19" t="s">
        <v>86</v>
      </c>
      <c r="CF14" s="19" t="s">
        <v>86</v>
      </c>
      <c r="CG14" s="32" t="s">
        <v>85</v>
      </c>
      <c r="CI14" s="31"/>
      <c r="CJ14" s="19"/>
      <c r="CK14" s="19"/>
      <c r="CL14" s="19" t="s">
        <v>313</v>
      </c>
      <c r="CM14" s="19"/>
      <c r="CN14" s="19" t="s">
        <v>313</v>
      </c>
      <c r="CO14" s="19"/>
      <c r="CP14" s="19" t="s">
        <v>313</v>
      </c>
      <c r="CQ14" s="19"/>
      <c r="CR14" s="19" t="s">
        <v>314</v>
      </c>
      <c r="CS14" s="19"/>
      <c r="CT14" s="19"/>
      <c r="CU14" s="19"/>
      <c r="CV14" s="32"/>
      <c r="CX14" s="31" t="s">
        <v>82</v>
      </c>
      <c r="CY14" s="19"/>
      <c r="CZ14" s="19" t="e">
        <f>CZ10*CZ11*CZ12</f>
        <v>#DIV/0!</v>
      </c>
      <c r="DA14" s="31"/>
      <c r="DB14" s="19"/>
      <c r="DC14" s="19"/>
      <c r="DD14" s="19"/>
      <c r="DE14" s="19" t="s">
        <v>350</v>
      </c>
      <c r="DF14" s="19"/>
      <c r="DG14" s="19"/>
      <c r="DH14" s="19" t="s">
        <v>63</v>
      </c>
      <c r="DI14" s="19" t="s">
        <v>63</v>
      </c>
      <c r="DJ14" s="19" t="s">
        <v>64</v>
      </c>
      <c r="DK14" s="19" t="s">
        <v>64</v>
      </c>
      <c r="DM14" s="32"/>
      <c r="DO14" s="31"/>
      <c r="DP14" s="261"/>
      <c r="DQ14" s="261" t="s">
        <v>82</v>
      </c>
      <c r="DR14" s="261" t="s">
        <v>413</v>
      </c>
      <c r="DS14" s="261" t="s">
        <v>420</v>
      </c>
      <c r="DT14" s="261" t="s">
        <v>416</v>
      </c>
      <c r="DU14" s="261" t="s">
        <v>86</v>
      </c>
      <c r="DV14" s="32"/>
      <c r="DX14" s="31"/>
      <c r="DY14" s="19" t="s">
        <v>86</v>
      </c>
      <c r="DZ14" s="19" t="s">
        <v>86</v>
      </c>
      <c r="EA14" s="19" t="s">
        <v>86</v>
      </c>
      <c r="EB14" s="19" t="s">
        <v>86</v>
      </c>
      <c r="EC14" s="19" t="s">
        <v>435</v>
      </c>
      <c r="ED14" s="19" t="s">
        <v>435</v>
      </c>
      <c r="EE14" s="19" t="s">
        <v>435</v>
      </c>
      <c r="EF14" s="19" t="s">
        <v>435</v>
      </c>
      <c r="EH14" s="19"/>
      <c r="EI14" s="19"/>
      <c r="EJ14" s="19"/>
      <c r="EK14" s="19"/>
      <c r="EL14" s="19"/>
      <c r="EM14" s="32"/>
    </row>
    <row r="15" spans="1:143" ht="15.75" x14ac:dyDescent="0.25">
      <c r="A15" s="116"/>
      <c r="B15" s="116"/>
      <c r="C15" s="116"/>
      <c r="D15" s="116"/>
      <c r="E15" s="116"/>
      <c r="F15" s="174" t="str">
        <f>AD98</f>
        <v>Use Automatic Vacuum Sealing System - Laboratory Method 1816</v>
      </c>
      <c r="H15" s="116"/>
      <c r="I15" s="116"/>
      <c r="J15" s="139" t="str">
        <f>IF($BG$84="Use Agency Cores","Day's Shrinking Tolerance Exceeded, Agency Companions Replace All Contractor Cores (2360.3.D.1.k(2))","")</f>
        <v/>
      </c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252" t="str">
        <f>IF($DR$60="Core &lt; 87%","Use Drop","")</f>
        <v/>
      </c>
      <c r="AA15" s="4"/>
      <c r="AB15" s="2"/>
      <c r="AC15" s="3"/>
      <c r="AD15" s="2"/>
      <c r="AE15" s="2"/>
      <c r="AF15" s="2"/>
      <c r="AI15" s="22" t="s">
        <v>90</v>
      </c>
      <c r="AJ15" s="19"/>
      <c r="AK15" s="27" t="s">
        <v>92</v>
      </c>
      <c r="AN15" s="18" t="s">
        <v>113</v>
      </c>
      <c r="AO15" s="19" t="str">
        <f>AD76</f>
        <v>No</v>
      </c>
      <c r="AP15" s="19"/>
      <c r="AQ15" s="19"/>
      <c r="AR15" s="19"/>
      <c r="AS15" s="19"/>
      <c r="AT15" s="19"/>
      <c r="AU15" s="20"/>
      <c r="AW15" s="31"/>
      <c r="AX15" s="19"/>
      <c r="AY15" s="19"/>
      <c r="AZ15" s="19"/>
      <c r="BA15" s="19"/>
      <c r="BB15" s="19"/>
      <c r="BC15" s="19"/>
      <c r="BD15" s="19"/>
      <c r="BE15" s="19"/>
      <c r="BF15" s="19"/>
      <c r="BG15" s="19"/>
      <c r="BH15" s="19"/>
      <c r="BI15" s="32"/>
      <c r="BL15" s="31" t="s">
        <v>66</v>
      </c>
      <c r="BM15" s="19" t="s">
        <v>82</v>
      </c>
      <c r="BN15" s="19" t="s">
        <v>86</v>
      </c>
      <c r="BO15" s="19" t="s">
        <v>86</v>
      </c>
      <c r="BP15" s="19" t="s">
        <v>86</v>
      </c>
      <c r="BQ15" s="19" t="s">
        <v>86</v>
      </c>
      <c r="BR15" s="19"/>
      <c r="BS15" s="19" t="s">
        <v>99</v>
      </c>
      <c r="BT15" s="19" t="s">
        <v>120</v>
      </c>
      <c r="BU15" s="19" t="s">
        <v>142</v>
      </c>
      <c r="BV15" s="19" t="s">
        <v>120</v>
      </c>
      <c r="BW15" s="19" t="s">
        <v>142</v>
      </c>
      <c r="BX15" s="19" t="s">
        <v>99</v>
      </c>
      <c r="BY15" s="19" t="s">
        <v>120</v>
      </c>
      <c r="BZ15" s="19" t="s">
        <v>142</v>
      </c>
      <c r="CA15" s="19" t="s">
        <v>120</v>
      </c>
      <c r="CB15" s="19" t="s">
        <v>142</v>
      </c>
      <c r="CC15" s="19" t="s">
        <v>99</v>
      </c>
      <c r="CD15" s="19" t="s">
        <v>221</v>
      </c>
      <c r="CE15" s="19" t="s">
        <v>221</v>
      </c>
      <c r="CF15" s="19"/>
      <c r="CG15" s="32" t="s">
        <v>86</v>
      </c>
      <c r="CI15" s="31"/>
      <c r="CJ15" s="19"/>
      <c r="CK15" s="19" t="s">
        <v>312</v>
      </c>
      <c r="CL15" s="19" t="s">
        <v>314</v>
      </c>
      <c r="CM15" s="19" t="s">
        <v>312</v>
      </c>
      <c r="CN15" s="19" t="s">
        <v>314</v>
      </c>
      <c r="CO15" s="19" t="s">
        <v>312</v>
      </c>
      <c r="CP15" s="19" t="s">
        <v>314</v>
      </c>
      <c r="CQ15" s="170" t="s">
        <v>305</v>
      </c>
      <c r="CR15" s="170" t="s">
        <v>305</v>
      </c>
      <c r="CS15" s="41" t="s">
        <v>66</v>
      </c>
      <c r="CT15" s="41" t="s">
        <v>322</v>
      </c>
      <c r="CU15" s="41" t="s">
        <v>322</v>
      </c>
      <c r="CV15" s="172" t="s">
        <v>149</v>
      </c>
      <c r="CX15" s="202" t="s">
        <v>339</v>
      </c>
      <c r="CY15" s="19"/>
      <c r="CZ15" s="19" t="e">
        <f>CZ14*0.75</f>
        <v>#DIV/0!</v>
      </c>
      <c r="DA15" s="31"/>
      <c r="DB15" s="19"/>
      <c r="DC15" s="19"/>
      <c r="DD15" s="19"/>
      <c r="DE15" s="19" t="s">
        <v>351</v>
      </c>
      <c r="DF15" s="19"/>
      <c r="DG15" s="19"/>
      <c r="DH15" s="19" t="s">
        <v>357</v>
      </c>
      <c r="DI15" s="19" t="s">
        <v>314</v>
      </c>
      <c r="DJ15" s="19" t="s">
        <v>357</v>
      </c>
      <c r="DK15" s="19" t="s">
        <v>314</v>
      </c>
      <c r="DL15" s="19"/>
      <c r="DM15" s="32"/>
      <c r="DO15" s="31"/>
      <c r="DP15" s="261" t="s">
        <v>66</v>
      </c>
      <c r="DQ15" s="261"/>
      <c r="DR15" s="262">
        <v>0.87</v>
      </c>
      <c r="DS15" s="261" t="s">
        <v>258</v>
      </c>
      <c r="DT15" s="261" t="s">
        <v>417</v>
      </c>
      <c r="DU15" s="261"/>
      <c r="DV15" s="32"/>
      <c r="DX15" s="43" t="s">
        <v>66</v>
      </c>
      <c r="DY15" s="35" t="s">
        <v>120</v>
      </c>
      <c r="DZ15" s="35" t="s">
        <v>142</v>
      </c>
      <c r="EA15" s="35" t="s">
        <v>120</v>
      </c>
      <c r="EB15" s="35" t="s">
        <v>142</v>
      </c>
      <c r="EC15" s="275" t="s">
        <v>120</v>
      </c>
      <c r="ED15" s="275" t="s">
        <v>142</v>
      </c>
      <c r="EE15" s="275" t="s">
        <v>120</v>
      </c>
      <c r="EF15" s="275" t="s">
        <v>142</v>
      </c>
      <c r="EG15" s="35"/>
      <c r="EH15" s="35"/>
      <c r="EI15" s="35"/>
      <c r="EJ15" s="35"/>
      <c r="EK15" s="19"/>
      <c r="EL15" s="19"/>
      <c r="EM15" s="32"/>
    </row>
    <row r="16" spans="1:143" x14ac:dyDescent="0.25">
      <c r="A16" s="116"/>
      <c r="B16" s="306" t="s">
        <v>367</v>
      </c>
      <c r="C16" s="306"/>
      <c r="D16" s="234">
        <f>AD129</f>
        <v>92</v>
      </c>
      <c r="E16" s="127" t="s">
        <v>68</v>
      </c>
      <c r="F16" s="127"/>
      <c r="G16" s="235"/>
      <c r="H16" s="127" t="s">
        <v>73</v>
      </c>
      <c r="I16" s="127"/>
      <c r="J16" s="127"/>
      <c r="K16" s="116"/>
      <c r="L16" s="127" t="s">
        <v>75</v>
      </c>
      <c r="M16" s="127" t="s">
        <v>302</v>
      </c>
      <c r="N16" s="127" t="s">
        <v>303</v>
      </c>
      <c r="O16" s="127" t="s">
        <v>82</v>
      </c>
      <c r="P16" s="127" t="s">
        <v>79</v>
      </c>
      <c r="Q16" s="127" t="s">
        <v>305</v>
      </c>
      <c r="R16" s="127" t="s">
        <v>307</v>
      </c>
      <c r="S16" s="127" t="str">
        <f>IF(M6="Yes","Total Pay","")</f>
        <v>Total Pay</v>
      </c>
      <c r="T16" s="127" t="str">
        <f>IF(D14="Tons","Tons","Sq. Yd.")</f>
        <v>Tons</v>
      </c>
      <c r="U16" s="127" t="s">
        <v>131</v>
      </c>
      <c r="V16" s="252" t="str">
        <f>IF($DR$60="Core &lt; 87%","Down List","")</f>
        <v/>
      </c>
      <c r="AA16" s="51" t="s">
        <v>15</v>
      </c>
      <c r="AB16" s="50"/>
      <c r="AC16" s="52"/>
      <c r="AD16" s="50"/>
      <c r="AE16" s="51" t="s">
        <v>16</v>
      </c>
      <c r="AF16" s="51" t="s">
        <v>17</v>
      </c>
      <c r="AI16" s="18">
        <f>AI88</f>
        <v>0</v>
      </c>
      <c r="AJ16" s="19"/>
      <c r="AK16" s="20" t="str">
        <f>VLOOKUP(AI16,AI21:AJ39,2)</f>
        <v>See Table 2360-21</v>
      </c>
      <c r="AN16" s="18" t="s">
        <v>109</v>
      </c>
      <c r="AO16" s="19" t="str">
        <f>IF(AND(AO13=40,AO15="No"),"Table A",IF(AND(AO13=30,AO15="No"),"Table B",IF(AND(AO13=40,AO15="Yes"),"Table C","Table D")))</f>
        <v>Table A</v>
      </c>
      <c r="AP16" s="19"/>
      <c r="AQ16" s="19"/>
      <c r="AR16" s="19"/>
      <c r="AS16" s="19"/>
      <c r="AT16" s="19"/>
      <c r="AU16" s="20"/>
      <c r="AW16" s="31"/>
      <c r="AX16" s="19"/>
      <c r="AY16" s="19"/>
      <c r="AZ16" s="19"/>
      <c r="BA16" s="19"/>
      <c r="BB16" s="19"/>
      <c r="BC16" s="19"/>
      <c r="BD16" s="19"/>
      <c r="BE16" s="19"/>
      <c r="BF16" s="19"/>
      <c r="BG16" s="19"/>
      <c r="BH16" s="19"/>
      <c r="BI16" s="32"/>
      <c r="BL16" s="31">
        <f>B19</f>
        <v>1</v>
      </c>
      <c r="BM16" s="19" t="str">
        <f>IF(ISNUMBER(Q19),Q19,"")</f>
        <v/>
      </c>
      <c r="BN16" s="19" t="e">
        <f>IF($BM$12="Traffic 2/3",VLOOKUP($BM16,$AN$32:$AP$40,2),VLOOKUP($BM16,$AN$32:$AP$40,3))</f>
        <v>#N/A</v>
      </c>
      <c r="BO16" s="19" t="e">
        <f>IF($BM$12="Traffic 2/3",VLOOKUP($BM16,$AR$32:$AT$40,2),VLOOKUP($BM16,$AR$32:$AT$40,3))</f>
        <v>#N/A</v>
      </c>
      <c r="BP16" s="19" t="e">
        <f>VLOOKUP($BM16,$AN$49:$AO$55,2)</f>
        <v>#N/A</v>
      </c>
      <c r="BQ16" s="19" t="e">
        <f>VLOOKUP($BM16,$AR$49:$AS$55,2)</f>
        <v>#N/A</v>
      </c>
      <c r="BR16" s="19"/>
      <c r="BS16" s="19" t="str">
        <f>IF(ISNUMBER(BM16),IF($BM$10="Table A",BN16,IF($BM$10="Table B",BO16,IF($BM$10="Table C",BP16,BQ16))),"")</f>
        <v/>
      </c>
      <c r="BT16" s="19" t="str">
        <f t="shared" ref="BT16:BT25" si="2">IF($AI$62=$BL16,$S$63,"")</f>
        <v/>
      </c>
      <c r="BU16" s="19" t="str">
        <f t="shared" ref="BU16:BU25" si="3">IF($AI$62=$BL16,$S$64,"")</f>
        <v/>
      </c>
      <c r="BV16" s="19" t="str">
        <f t="shared" ref="BV16:BV25" si="4">IF($AI$63=$BL16,$S$67,"")</f>
        <v/>
      </c>
      <c r="BW16" s="19" t="str">
        <f t="shared" ref="BW16:BW25" si="5">IF($AI$63=$BL16,$S$68,"")</f>
        <v/>
      </c>
      <c r="BX16" s="19" t="str">
        <f t="shared" ref="BX16:BX19" si="6">IF(ISNUMBER(BS16),IF($BQ$76="No",BS16,IF(BS16&gt;1,1,BS16)),IF(BS16="See Spec","See Spec",""))</f>
        <v/>
      </c>
      <c r="BY16" s="19" t="str">
        <f t="shared" ref="BY16:BY25" si="7">IF(ISNUMBER(BT16),IF($BM$9="No",BT16,IF(BT16&gt;1,1,BT16)),"")</f>
        <v/>
      </c>
      <c r="BZ16" s="19" t="str">
        <f t="shared" ref="BZ16:BZ25" si="8">IF(ISNUMBER(BU16),IF($BM$9="No",BU16,IF(BU16&gt;1,1,BU16)),"")</f>
        <v/>
      </c>
      <c r="CA16" s="19" t="str">
        <f t="shared" ref="CA16:CA25" si="9">IF(ISNUMBER(BV16),IF($BM$9="No",BV16,IF(BV16&gt;1,1,BV16)),"")</f>
        <v/>
      </c>
      <c r="CB16" s="19" t="str">
        <f t="shared" ref="CB16:CB25" si="10">IF(ISNUMBER(BW16),IF($BM$9="No",BW16,IF(BW16&gt;1,1,BW16)),"")</f>
        <v/>
      </c>
      <c r="CC16" s="41" t="str">
        <f>IF(BX16="See Spec",DU19,BX16)</f>
        <v/>
      </c>
      <c r="CD16" s="19" t="e">
        <f t="shared" ref="CD16:CD25" si="11">IF(BY16="",CC16*BZ16,IF(BZ16="",CC16*BY16,CC16*BY16*BZ16))</f>
        <v>#VALUE!</v>
      </c>
      <c r="CE16" s="19" t="e">
        <f>IF(CA16="",CC16*CB16,IF(CB16="",CC16*CA16,CC16*CA16*CB16))</f>
        <v>#VALUE!</v>
      </c>
      <c r="CF16" s="19" t="e">
        <f t="shared" ref="CF16:CF25" si="12">IF(ISERR(CD16),CE16,CD16)</f>
        <v>#VALUE!</v>
      </c>
      <c r="CG16" s="32" t="e">
        <f t="shared" ref="CG16:CG25" si="13">IF($BM9="Yes","",CF16)</f>
        <v>#VALUE!</v>
      </c>
      <c r="CI16" s="31"/>
      <c r="CJ16" s="19"/>
      <c r="CK16" s="170" t="s">
        <v>302</v>
      </c>
      <c r="CL16" s="170" t="s">
        <v>302</v>
      </c>
      <c r="CM16" s="170" t="s">
        <v>303</v>
      </c>
      <c r="CN16" s="170" t="s">
        <v>303</v>
      </c>
      <c r="CO16" s="170" t="s">
        <v>82</v>
      </c>
      <c r="CP16" s="170" t="s">
        <v>82</v>
      </c>
      <c r="CQ16" s="170" t="s">
        <v>82</v>
      </c>
      <c r="CR16" s="170" t="s">
        <v>82</v>
      </c>
      <c r="CS16" s="170" t="s">
        <v>321</v>
      </c>
      <c r="CT16" s="19"/>
      <c r="CU16" s="19"/>
      <c r="CV16" s="171" t="s">
        <v>323</v>
      </c>
      <c r="CX16" s="31"/>
      <c r="CY16" s="19"/>
      <c r="CZ16" s="19"/>
      <c r="DA16" s="31"/>
      <c r="DB16" s="19"/>
      <c r="DC16" s="19" t="s">
        <v>349</v>
      </c>
      <c r="DD16" s="19" t="s">
        <v>349</v>
      </c>
      <c r="DE16" s="19" t="s">
        <v>352</v>
      </c>
      <c r="DF16" s="170" t="s">
        <v>307</v>
      </c>
      <c r="DG16" s="271" t="str">
        <f>S16</f>
        <v>Total Pay</v>
      </c>
      <c r="DH16" s="19" t="s">
        <v>355</v>
      </c>
      <c r="DI16" s="19" t="s">
        <v>355</v>
      </c>
      <c r="DJ16" s="19" t="s">
        <v>355</v>
      </c>
      <c r="DK16" s="19" t="s">
        <v>355</v>
      </c>
      <c r="DL16" s="19" t="s">
        <v>146</v>
      </c>
      <c r="DM16" s="32"/>
      <c r="DO16" s="31"/>
      <c r="DP16" s="261"/>
      <c r="DQ16" s="261" t="str">
        <f>$BS16</f>
        <v/>
      </c>
      <c r="DR16" s="261"/>
      <c r="DS16" s="261" t="s">
        <v>421</v>
      </c>
      <c r="DT16" s="261" t="s">
        <v>418</v>
      </c>
      <c r="DU16" s="261"/>
      <c r="DV16" s="32"/>
      <c r="DX16" s="31">
        <f t="shared" ref="DX16:DX25" si="14">BL16</f>
        <v>1</v>
      </c>
      <c r="DY16" s="19" t="str">
        <f t="shared" ref="DY16" si="15">BY16</f>
        <v/>
      </c>
      <c r="DZ16" s="19" t="str">
        <f t="shared" ref="DZ16" si="16">BZ16</f>
        <v/>
      </c>
      <c r="EA16" s="19" t="str">
        <f t="shared" ref="EA16" si="17">CA16</f>
        <v/>
      </c>
      <c r="EB16" s="19" t="str">
        <f t="shared" ref="EB16" si="18">CB16</f>
        <v/>
      </c>
      <c r="EC16" s="19" t="str">
        <f t="shared" ref="EC16:EC25" si="19">IF(DY16="","",(DY16-1))</f>
        <v/>
      </c>
      <c r="ED16" s="19" t="str">
        <f t="shared" ref="ED16:ED25" si="20">IF(DZ16="","",(DZ16-1))</f>
        <v/>
      </c>
      <c r="EE16" s="19" t="str">
        <f t="shared" ref="EE16:EE25" si="21">IF(EA16="","",(EA16-1))</f>
        <v/>
      </c>
      <c r="EF16" s="19" t="str">
        <f t="shared" ref="EF16:EF25" si="22">IF(EB16="","",(EB16-1))</f>
        <v/>
      </c>
      <c r="EG16" s="278" t="str">
        <f t="shared" ref="EG16:EG25" si="23">IF(EC16="","",(EC16*$DZ$4*$DZ$5))</f>
        <v/>
      </c>
      <c r="EH16" s="278" t="str">
        <f t="shared" ref="EH16:EH25" si="24">IF(ED16="","",(ED16*$DZ$4*$DZ$5))</f>
        <v/>
      </c>
      <c r="EI16" s="278" t="str">
        <f t="shared" ref="EI16:EI25" si="25">IF(EE16="","",(EE16*$DZ$4*$DZ$5))</f>
        <v/>
      </c>
      <c r="EJ16" s="278" t="str">
        <f t="shared" ref="EJ16:EJ25" si="26">IF(EF16="","",(EF16*$DZ$4*$DZ$5))</f>
        <v/>
      </c>
      <c r="EK16" s="19"/>
      <c r="EL16" s="19"/>
      <c r="EM16" s="32"/>
    </row>
    <row r="17" spans="1:143" x14ac:dyDescent="0.25">
      <c r="A17" s="116"/>
      <c r="B17" s="116"/>
      <c r="C17" s="127"/>
      <c r="D17" s="116"/>
      <c r="E17" s="127" t="s">
        <v>69</v>
      </c>
      <c r="F17" s="127" t="s">
        <v>70</v>
      </c>
      <c r="G17" s="236" t="s">
        <v>74</v>
      </c>
      <c r="H17" s="127" t="s">
        <v>74</v>
      </c>
      <c r="I17" s="127" t="s">
        <v>74</v>
      </c>
      <c r="J17" s="127" t="s">
        <v>301</v>
      </c>
      <c r="K17" s="127" t="s">
        <v>76</v>
      </c>
      <c r="L17" s="127" t="s">
        <v>77</v>
      </c>
      <c r="M17" s="127" t="s">
        <v>78</v>
      </c>
      <c r="N17" s="127" t="s">
        <v>304</v>
      </c>
      <c r="O17" s="127" t="s">
        <v>133</v>
      </c>
      <c r="P17" s="127" t="s">
        <v>80</v>
      </c>
      <c r="Q17" s="127" t="s">
        <v>82</v>
      </c>
      <c r="R17" s="127" t="s">
        <v>86</v>
      </c>
      <c r="S17" s="127" t="str">
        <f>IF(M6="Yes","Factor","")</f>
        <v>Factor</v>
      </c>
      <c r="T17" s="127" t="s">
        <v>83</v>
      </c>
      <c r="U17" s="127" t="s">
        <v>132</v>
      </c>
      <c r="V17" s="252" t="str">
        <f>IF($DR$60="Core &lt; 87%","in","")</f>
        <v/>
      </c>
      <c r="AA17" s="4" t="s">
        <v>18</v>
      </c>
      <c r="AB17" s="2"/>
      <c r="AC17" s="5"/>
      <c r="AD17" s="2"/>
      <c r="AE17" s="6" t="str">
        <f>D7</f>
        <v>SP (Gyratory)</v>
      </c>
      <c r="AF17" s="5" t="s">
        <v>0</v>
      </c>
      <c r="AI17" s="197" t="s">
        <v>345</v>
      </c>
      <c r="AJ17" s="19"/>
      <c r="AK17" s="198" t="e">
        <f>$AI$88/$AK$43</f>
        <v>#VALUE!</v>
      </c>
      <c r="AN17" s="18" t="s">
        <v>110</v>
      </c>
      <c r="AO17" s="19" t="b">
        <f>BM11=(IF(OR(AO14=2,AO14=3),"Column 2","Column 3"))</f>
        <v>0</v>
      </c>
      <c r="AP17" s="19"/>
      <c r="AQ17" s="19"/>
      <c r="AR17" s="19"/>
      <c r="AS17" s="19"/>
      <c r="AT17" s="19"/>
      <c r="AU17" s="20"/>
      <c r="AW17" s="94" t="s">
        <v>147</v>
      </c>
      <c r="AX17" s="95"/>
      <c r="AY17" s="95"/>
      <c r="AZ17" s="95"/>
      <c r="BA17" s="95"/>
      <c r="BB17" s="95"/>
      <c r="BC17" s="95"/>
      <c r="BD17" s="95"/>
      <c r="BE17" s="95"/>
      <c r="BF17" s="95"/>
      <c r="BG17" s="95"/>
      <c r="BH17" s="95"/>
      <c r="BI17" s="96"/>
      <c r="BL17" s="31">
        <f>B23</f>
        <v>2</v>
      </c>
      <c r="BM17" s="19" t="str">
        <f>IF(ISNUMBER(Q23),Q23,"")</f>
        <v/>
      </c>
      <c r="BN17" s="19" t="e">
        <f t="shared" ref="BN17:BN25" si="27">IF($BM$12="Traffic 2/3",VLOOKUP($BM17,$AN$32:$AP$40,2),VLOOKUP($BM17,$AN$32:$AP$40,3))</f>
        <v>#N/A</v>
      </c>
      <c r="BO17" s="19" t="e">
        <f t="shared" ref="BO17:BO25" si="28">IF($BM$12="Traffic 2/3",VLOOKUP($BM17,$AR$32:$AT$40,2),VLOOKUP($BM17,$AR$32:$AT$40,3))</f>
        <v>#N/A</v>
      </c>
      <c r="BP17" s="19" t="e">
        <f t="shared" ref="BP17:BP25" si="29">VLOOKUP($BM17,$AN$49:$AO$55,2)</f>
        <v>#N/A</v>
      </c>
      <c r="BQ17" s="19" t="e">
        <f t="shared" ref="BQ17:BQ25" si="30">VLOOKUP($BM17,$AR$49:$AS$55,2)</f>
        <v>#N/A</v>
      </c>
      <c r="BR17" s="19"/>
      <c r="BS17" s="19" t="str">
        <f t="shared" ref="BS17:BS25" si="31">IF(ISNUMBER(BM17),IF($BM$10="Table A",BN17,IF($BM$10="Table B",BO17,IF($BM$10="Table C",BP17,BQ17))),"")</f>
        <v/>
      </c>
      <c r="BT17" s="19" t="str">
        <f t="shared" si="2"/>
        <v/>
      </c>
      <c r="BU17" s="19" t="str">
        <f t="shared" si="3"/>
        <v/>
      </c>
      <c r="BV17" s="19" t="str">
        <f t="shared" si="4"/>
        <v/>
      </c>
      <c r="BW17" s="19" t="str">
        <f t="shared" si="5"/>
        <v/>
      </c>
      <c r="BX17" s="19" t="str">
        <f t="shared" si="6"/>
        <v/>
      </c>
      <c r="BY17" s="19" t="str">
        <f t="shared" si="7"/>
        <v/>
      </c>
      <c r="BZ17" s="19" t="str">
        <f t="shared" si="8"/>
        <v/>
      </c>
      <c r="CA17" s="19" t="str">
        <f t="shared" si="9"/>
        <v/>
      </c>
      <c r="CB17" s="19" t="str">
        <f t="shared" si="10"/>
        <v/>
      </c>
      <c r="CC17" s="41" t="str">
        <f>IF(BX17="See Spec",DU23,BX17)</f>
        <v/>
      </c>
      <c r="CD17" s="19" t="e">
        <f t="shared" si="11"/>
        <v>#VALUE!</v>
      </c>
      <c r="CE17" s="19" t="e">
        <f>IF(CA17="",CC17*CB17,IF(CB17="",CC17*CA17,CC17*CA17*CB17))</f>
        <v>#VALUE!</v>
      </c>
      <c r="CF17" s="19" t="e">
        <f t="shared" si="12"/>
        <v>#VALUE!</v>
      </c>
      <c r="CG17" s="32" t="e">
        <f t="shared" si="13"/>
        <v>#VALUE!</v>
      </c>
      <c r="CI17" s="31"/>
      <c r="CJ17" s="19"/>
      <c r="CK17" s="170" t="s">
        <v>78</v>
      </c>
      <c r="CL17" s="170" t="s">
        <v>78</v>
      </c>
      <c r="CM17" s="170" t="s">
        <v>304</v>
      </c>
      <c r="CN17" s="170" t="s">
        <v>304</v>
      </c>
      <c r="CO17" s="170" t="s">
        <v>133</v>
      </c>
      <c r="CP17" s="170" t="s">
        <v>133</v>
      </c>
      <c r="CQ17" s="170" t="s">
        <v>306</v>
      </c>
      <c r="CR17" s="170" t="s">
        <v>306</v>
      </c>
      <c r="CS17" s="19"/>
      <c r="CT17" s="19"/>
      <c r="CU17" s="19"/>
      <c r="CV17" s="32"/>
      <c r="CX17" s="43"/>
      <c r="CY17" s="35"/>
      <c r="CZ17" s="35"/>
      <c r="DA17" s="31"/>
      <c r="DB17" s="19" t="s">
        <v>66</v>
      </c>
      <c r="DC17" s="19" t="s">
        <v>63</v>
      </c>
      <c r="DD17" s="19" t="s">
        <v>358</v>
      </c>
      <c r="DE17" s="19" t="s">
        <v>353</v>
      </c>
      <c r="DF17" s="170" t="s">
        <v>86</v>
      </c>
      <c r="DG17" s="271" t="str">
        <f>S17</f>
        <v>Factor</v>
      </c>
      <c r="DH17" s="19" t="s">
        <v>132</v>
      </c>
      <c r="DI17" s="19" t="s">
        <v>132</v>
      </c>
      <c r="DJ17" s="19" t="s">
        <v>132</v>
      </c>
      <c r="DK17" s="19" t="s">
        <v>132</v>
      </c>
      <c r="DL17" s="19" t="s">
        <v>85</v>
      </c>
      <c r="DM17" s="32"/>
      <c r="DO17" s="31"/>
      <c r="DP17" s="261"/>
      <c r="DQ17" s="261" t="str">
        <f>$BS17</f>
        <v/>
      </c>
      <c r="DR17" s="261"/>
      <c r="DS17" s="261" t="s">
        <v>422</v>
      </c>
      <c r="DT17" s="263" t="s">
        <v>419</v>
      </c>
      <c r="DU17" s="261"/>
      <c r="DV17" s="32"/>
      <c r="DX17" s="31">
        <f t="shared" si="14"/>
        <v>2</v>
      </c>
      <c r="DY17" s="19" t="str">
        <f t="shared" ref="DY17" si="32">BY17</f>
        <v/>
      </c>
      <c r="DZ17" s="19" t="str">
        <f t="shared" ref="DZ17" si="33">BZ17</f>
        <v/>
      </c>
      <c r="EA17" s="19" t="str">
        <f t="shared" ref="EA17" si="34">CA17</f>
        <v/>
      </c>
      <c r="EB17" s="19" t="str">
        <f t="shared" ref="EB17" si="35">CB17</f>
        <v/>
      </c>
      <c r="EC17" s="19" t="str">
        <f t="shared" si="19"/>
        <v/>
      </c>
      <c r="ED17" s="19" t="str">
        <f t="shared" si="20"/>
        <v/>
      </c>
      <c r="EE17" s="19" t="str">
        <f t="shared" si="21"/>
        <v/>
      </c>
      <c r="EF17" s="19" t="str">
        <f t="shared" si="22"/>
        <v/>
      </c>
      <c r="EG17" s="278" t="str">
        <f t="shared" si="23"/>
        <v/>
      </c>
      <c r="EH17" s="278" t="str">
        <f t="shared" si="24"/>
        <v/>
      </c>
      <c r="EI17" s="278" t="str">
        <f t="shared" si="25"/>
        <v/>
      </c>
      <c r="EJ17" s="278" t="str">
        <f t="shared" si="26"/>
        <v/>
      </c>
      <c r="EK17" s="19"/>
      <c r="EL17" s="19"/>
      <c r="EM17" s="32"/>
    </row>
    <row r="18" spans="1:143" ht="15.75" thickBot="1" x14ac:dyDescent="0.3">
      <c r="A18" s="116"/>
      <c r="B18" s="127" t="s">
        <v>66</v>
      </c>
      <c r="C18" s="127"/>
      <c r="D18" s="127" t="s">
        <v>67</v>
      </c>
      <c r="E18" s="127" t="s">
        <v>72</v>
      </c>
      <c r="F18" s="127" t="s">
        <v>71</v>
      </c>
      <c r="G18" s="236" t="s">
        <v>216</v>
      </c>
      <c r="H18" s="127" t="s">
        <v>71</v>
      </c>
      <c r="I18" s="127" t="s">
        <v>71</v>
      </c>
      <c r="J18" s="127" t="s">
        <v>71</v>
      </c>
      <c r="K18" s="127" t="s">
        <v>71</v>
      </c>
      <c r="L18" s="127" t="s">
        <v>71</v>
      </c>
      <c r="M18" s="127"/>
      <c r="N18" s="127"/>
      <c r="O18" s="127"/>
      <c r="P18" s="127" t="s">
        <v>81</v>
      </c>
      <c r="Q18" s="127" t="s">
        <v>306</v>
      </c>
      <c r="R18" s="127" t="s">
        <v>145</v>
      </c>
      <c r="S18" s="127" t="str">
        <f>IF(M6="Yes","AxBxC","")</f>
        <v>AxBxC</v>
      </c>
      <c r="T18" s="127"/>
      <c r="U18" s="127"/>
      <c r="V18" s="252" t="str">
        <f>IF($DR$60="Core &lt; 87%","Box","")</f>
        <v/>
      </c>
      <c r="AA18" s="4"/>
      <c r="AB18" s="2"/>
      <c r="AC18" s="5"/>
      <c r="AD18" s="2"/>
      <c r="AE18" s="5"/>
      <c r="AF18" s="5"/>
      <c r="AI18" s="197" t="s">
        <v>346</v>
      </c>
      <c r="AK18" s="199" t="e">
        <f>IF(ROUND((AK17*10),0)-(AK17*10)=0.5,IF(EVEN((AK17*10))-(AK17*10)=1.5,(EVEN((AK17*10))-2)/10,EVEN((AK17*10))/10),ROUND(AK17,1))</f>
        <v>#VALUE!</v>
      </c>
      <c r="AN18" s="18"/>
      <c r="AO18" s="19"/>
      <c r="AP18" s="19"/>
      <c r="AQ18" s="19"/>
      <c r="AR18" s="19"/>
      <c r="AS18" s="19"/>
      <c r="AT18" s="19"/>
      <c r="AU18" s="20"/>
      <c r="AW18" s="31"/>
      <c r="AX18" s="19"/>
      <c r="AY18" s="19"/>
      <c r="AZ18" s="19"/>
      <c r="BA18" s="19"/>
      <c r="BB18" s="19" t="s">
        <v>207</v>
      </c>
      <c r="BC18" t="s">
        <v>222</v>
      </c>
      <c r="BD18" s="19" t="s">
        <v>244</v>
      </c>
      <c r="BE18" s="19" t="s">
        <v>248</v>
      </c>
      <c r="BF18" s="19" t="s">
        <v>248</v>
      </c>
      <c r="BG18" s="41" t="s">
        <v>244</v>
      </c>
      <c r="BH18" s="19"/>
      <c r="BI18" s="32"/>
      <c r="BL18" s="31">
        <f>B27</f>
        <v>3</v>
      </c>
      <c r="BM18" s="19" t="str">
        <f>IF(ISNUMBER(Q27),Q27,"")</f>
        <v/>
      </c>
      <c r="BN18" s="19" t="e">
        <f t="shared" si="27"/>
        <v>#N/A</v>
      </c>
      <c r="BO18" s="19" t="e">
        <f t="shared" si="28"/>
        <v>#N/A</v>
      </c>
      <c r="BP18" s="19" t="e">
        <f t="shared" si="29"/>
        <v>#N/A</v>
      </c>
      <c r="BQ18" s="19" t="e">
        <f t="shared" si="30"/>
        <v>#N/A</v>
      </c>
      <c r="BR18" s="19"/>
      <c r="BS18" s="19" t="str">
        <f t="shared" si="31"/>
        <v/>
      </c>
      <c r="BT18" s="19" t="str">
        <f t="shared" si="2"/>
        <v/>
      </c>
      <c r="BU18" s="19" t="str">
        <f t="shared" si="3"/>
        <v/>
      </c>
      <c r="BV18" s="19" t="str">
        <f t="shared" si="4"/>
        <v/>
      </c>
      <c r="BW18" s="19" t="str">
        <f t="shared" si="5"/>
        <v/>
      </c>
      <c r="BX18" s="19" t="str">
        <f t="shared" si="6"/>
        <v/>
      </c>
      <c r="BY18" s="19" t="str">
        <f t="shared" si="7"/>
        <v/>
      </c>
      <c r="BZ18" s="19" t="str">
        <f t="shared" si="8"/>
        <v/>
      </c>
      <c r="CA18" s="19" t="str">
        <f t="shared" si="9"/>
        <v/>
      </c>
      <c r="CB18" s="19" t="str">
        <f t="shared" si="10"/>
        <v/>
      </c>
      <c r="CC18" s="41" t="str">
        <f>IF(BX18="See Spec",DU27,BX18)</f>
        <v/>
      </c>
      <c r="CD18" s="19" t="e">
        <f t="shared" si="11"/>
        <v>#VALUE!</v>
      </c>
      <c r="CE18" s="19" t="e">
        <f>IF(CA18="",CC18*CB18,IF(CB18="",CC18*CA18,CC18*CA18*CB18))</f>
        <v>#VALUE!</v>
      </c>
      <c r="CF18" s="19" t="e">
        <f t="shared" si="12"/>
        <v>#VALUE!</v>
      </c>
      <c r="CG18" s="32" t="e">
        <f t="shared" si="13"/>
        <v>#VALUE!</v>
      </c>
      <c r="CI18" s="31"/>
      <c r="CJ18" s="19"/>
      <c r="CK18" s="170"/>
      <c r="CL18" s="19"/>
      <c r="CM18" s="170"/>
      <c r="CN18" s="170"/>
      <c r="CO18" s="19"/>
      <c r="CP18" s="19"/>
      <c r="CQ18" s="19"/>
      <c r="CR18" s="19"/>
      <c r="CS18" s="19"/>
      <c r="CT18" s="19"/>
      <c r="CU18" s="19"/>
      <c r="CV18" s="32"/>
      <c r="DA18" s="31"/>
      <c r="DB18" s="19"/>
      <c r="DC18" s="19" t="s">
        <v>83</v>
      </c>
      <c r="DD18" s="19" t="s">
        <v>83</v>
      </c>
      <c r="DE18" s="33" t="s">
        <v>354</v>
      </c>
      <c r="DF18" s="170" t="s">
        <v>145</v>
      </c>
      <c r="DG18" s="271" t="str">
        <f>S18</f>
        <v>AxBxC</v>
      </c>
      <c r="DH18" s="19" t="s">
        <v>356</v>
      </c>
      <c r="DI18" s="19" t="s">
        <v>356</v>
      </c>
      <c r="DJ18" s="19" t="s">
        <v>356</v>
      </c>
      <c r="DK18" s="19" t="s">
        <v>356</v>
      </c>
      <c r="DL18" s="19" t="s">
        <v>356</v>
      </c>
      <c r="DM18" s="32"/>
      <c r="DO18" s="31"/>
      <c r="DP18" s="272"/>
      <c r="DQ18" s="272" t="str">
        <f>$BS18</f>
        <v/>
      </c>
      <c r="DR18" s="272"/>
      <c r="DS18" s="272"/>
      <c r="DT18" s="272" t="s">
        <v>85</v>
      </c>
      <c r="DU18" s="272"/>
      <c r="DV18" s="32"/>
      <c r="DX18" s="31">
        <f t="shared" si="14"/>
        <v>3</v>
      </c>
      <c r="DY18" s="19" t="str">
        <f t="shared" ref="DY18:DY25" si="36">BY18</f>
        <v/>
      </c>
      <c r="DZ18" s="19" t="str">
        <f t="shared" ref="DZ18:DZ25" si="37">BZ18</f>
        <v/>
      </c>
      <c r="EA18" s="19" t="str">
        <f t="shared" ref="EA18:EA25" si="38">CA18</f>
        <v/>
      </c>
      <c r="EB18" s="19" t="str">
        <f t="shared" ref="EB18:EB25" si="39">CB18</f>
        <v/>
      </c>
      <c r="EC18" s="19" t="str">
        <f t="shared" si="19"/>
        <v/>
      </c>
      <c r="ED18" s="19" t="str">
        <f t="shared" si="20"/>
        <v/>
      </c>
      <c r="EE18" s="19" t="str">
        <f t="shared" si="21"/>
        <v/>
      </c>
      <c r="EF18" s="19" t="str">
        <f t="shared" si="22"/>
        <v/>
      </c>
      <c r="EG18" s="278" t="str">
        <f t="shared" si="23"/>
        <v/>
      </c>
      <c r="EH18" s="278" t="str">
        <f t="shared" si="24"/>
        <v/>
      </c>
      <c r="EI18" s="278" t="str">
        <f t="shared" si="25"/>
        <v/>
      </c>
      <c r="EJ18" s="278" t="str">
        <f t="shared" si="26"/>
        <v/>
      </c>
      <c r="EK18" s="19"/>
      <c r="EL18" s="19"/>
      <c r="EM18" s="32"/>
    </row>
    <row r="19" spans="1:143" ht="15.75" thickTop="1" x14ac:dyDescent="0.25">
      <c r="A19" s="116"/>
      <c r="B19" s="215">
        <v>1</v>
      </c>
      <c r="C19" s="129" t="s">
        <v>127</v>
      </c>
      <c r="D19" s="129">
        <f>B19+0.1</f>
        <v>1.1000000000000001</v>
      </c>
      <c r="E19" s="216"/>
      <c r="F19" s="217"/>
      <c r="G19" s="239"/>
      <c r="H19" s="217"/>
      <c r="I19" s="217"/>
      <c r="J19" s="217"/>
      <c r="K19" s="217"/>
      <c r="L19" s="152">
        <f>(H19-I19)</f>
        <v>0</v>
      </c>
      <c r="M19" s="147" t="str">
        <f t="shared" ref="M19:M58" si="40">CL19</f>
        <v/>
      </c>
      <c r="N19" s="148" t="str">
        <f t="shared" ref="N19:N58" si="41">CN19</f>
        <v/>
      </c>
      <c r="O19" s="147" t="str">
        <f t="shared" ref="O19:O58" si="42">CP19</f>
        <v/>
      </c>
      <c r="P19" s="153" t="str">
        <f>IF(BG25&gt;0,BG25,"")</f>
        <v/>
      </c>
      <c r="Q19" s="146" t="str">
        <f>CR19</f>
        <v/>
      </c>
      <c r="R19" s="161" t="str">
        <f>CC16</f>
        <v/>
      </c>
      <c r="S19" s="161" t="str">
        <f>IF(ISERR(CG16),"",CG16)</f>
        <v/>
      </c>
      <c r="T19" s="129" t="e">
        <f>DE19</f>
        <v>#VALUE!</v>
      </c>
      <c r="U19" s="284" t="str">
        <f>IF(R19="Rem/Repl","Rem/Replace",DL19)</f>
        <v/>
      </c>
      <c r="V19" s="285"/>
      <c r="AA19" s="4"/>
      <c r="AB19" s="2"/>
      <c r="AC19" s="3"/>
      <c r="AD19" s="2"/>
      <c r="AE19" s="5"/>
      <c r="AF19" s="5"/>
      <c r="AI19" s="18" t="s">
        <v>91</v>
      </c>
      <c r="AJ19" s="19"/>
      <c r="AK19" s="20"/>
      <c r="AN19" s="18"/>
      <c r="AO19" s="19"/>
      <c r="AP19" s="19"/>
      <c r="AQ19" s="19"/>
      <c r="AR19" s="19"/>
      <c r="AS19" s="19"/>
      <c r="AT19" s="19"/>
      <c r="AU19" s="20"/>
      <c r="AW19" s="31"/>
      <c r="AX19" s="19"/>
      <c r="AY19" s="19"/>
      <c r="AZ19" s="19"/>
      <c r="BA19" s="19"/>
      <c r="BB19" s="19" t="s">
        <v>241</v>
      </c>
      <c r="BC19" t="s">
        <v>240</v>
      </c>
      <c r="BD19" s="19" t="s">
        <v>245</v>
      </c>
      <c r="BE19" s="19" t="s">
        <v>249</v>
      </c>
      <c r="BF19" s="19" t="s">
        <v>249</v>
      </c>
      <c r="BG19" s="41" t="s">
        <v>258</v>
      </c>
      <c r="BH19" s="19"/>
      <c r="BI19" s="32"/>
      <c r="BL19" s="31">
        <f>B31</f>
        <v>4</v>
      </c>
      <c r="BM19" s="19" t="str">
        <f>IF(ISNUMBER(Q31),Q31,"")</f>
        <v/>
      </c>
      <c r="BN19" s="19" t="e">
        <f t="shared" si="27"/>
        <v>#N/A</v>
      </c>
      <c r="BO19" s="19" t="e">
        <f t="shared" si="28"/>
        <v>#N/A</v>
      </c>
      <c r="BP19" s="19" t="e">
        <f t="shared" si="29"/>
        <v>#N/A</v>
      </c>
      <c r="BQ19" s="19" t="e">
        <f t="shared" si="30"/>
        <v>#N/A</v>
      </c>
      <c r="BR19" s="19"/>
      <c r="BS19" s="19" t="str">
        <f t="shared" si="31"/>
        <v/>
      </c>
      <c r="BT19" s="19" t="str">
        <f t="shared" si="2"/>
        <v/>
      </c>
      <c r="BU19" s="19" t="str">
        <f t="shared" si="3"/>
        <v/>
      </c>
      <c r="BV19" s="19" t="str">
        <f t="shared" si="4"/>
        <v/>
      </c>
      <c r="BW19" s="19" t="str">
        <f t="shared" si="5"/>
        <v/>
      </c>
      <c r="BX19" s="19" t="str">
        <f t="shared" si="6"/>
        <v/>
      </c>
      <c r="BY19" s="19" t="str">
        <f t="shared" si="7"/>
        <v/>
      </c>
      <c r="BZ19" s="19" t="str">
        <f t="shared" si="8"/>
        <v/>
      </c>
      <c r="CA19" s="19" t="str">
        <f t="shared" si="9"/>
        <v/>
      </c>
      <c r="CB19" s="19" t="str">
        <f t="shared" si="10"/>
        <v/>
      </c>
      <c r="CC19" s="41" t="str">
        <f>IF(BX19="See Spec",DU31,BX19)</f>
        <v/>
      </c>
      <c r="CD19" s="19" t="e">
        <f t="shared" si="11"/>
        <v>#VALUE!</v>
      </c>
      <c r="CE19" s="19" t="e">
        <f>IF(CA19="",BX19*CB19,IF(CB19="",BX19*CA19,BX19*CA19*CB19))</f>
        <v>#VALUE!</v>
      </c>
      <c r="CF19" s="19" t="e">
        <f t="shared" si="12"/>
        <v>#VALUE!</v>
      </c>
      <c r="CG19" s="32" t="e">
        <f t="shared" si="13"/>
        <v>#VALUE!</v>
      </c>
      <c r="CI19" s="31"/>
      <c r="CJ19" s="19">
        <f t="shared" ref="CJ19:CJ58" si="43">D19</f>
        <v>1.1000000000000001</v>
      </c>
      <c r="CK19" s="19" t="str">
        <f t="shared" ref="CK19:CK58" si="44">IF(I19="","",((J19-F19)/(J19-K19))*100)</f>
        <v/>
      </c>
      <c r="CL19" s="144" t="str">
        <f t="shared" ref="CL19:CL58" si="45">IF(ISNUMBER(CK19),IF(ROUND((CK19*10),0)-(CK19*10)=0.5,IF(EVEN((CK19*10))-(CK19*10)=1.5,(EVEN((CK19*10))-2)/10,EVEN((CK19*10))/10),ROUND(CK19,1)),"")</f>
        <v/>
      </c>
      <c r="CM19" s="19" t="str">
        <f t="shared" ref="CM19:CM58" si="46">IF(J19="","",(L19/(J19-K19)))</f>
        <v/>
      </c>
      <c r="CN19" s="145" t="str">
        <f t="shared" ref="CN19:CN58" si="47">IF(ISNUMBER(CM19),IF(ROUND((CM19*1000),0)-(CM19*1000)=0.5,IF(EVEN((CM19*1000))-(CM19*1000)=1.5,(EVEN((CM19*1000))-2)/1000,EVEN((CM19*1000))/1000),ROUND(CM19,3)),"")</f>
        <v/>
      </c>
      <c r="CO19" s="19" t="str">
        <f t="shared" ref="CO19:CO58" si="48">IF(N19="","",(N19/$H$14)*100)</f>
        <v/>
      </c>
      <c r="CP19" s="144" t="str">
        <f t="shared" ref="CP19:CP58" si="49">IF(ISNUMBER(CO19),IF(ROUND((CO19*10),0)-(CO19*10)=0.5,IF(EVEN((CO19*10))-(CO19*10)=1.5,(EVEN((CO19*10))-2)/10,EVEN((CO19*10))/10),ROUND(CO19,1)),"")</f>
        <v/>
      </c>
      <c r="CQ19" s="19" t="str">
        <f>IF(ISNUMBER(P22),(P22/$H$14)*100,"")</f>
        <v/>
      </c>
      <c r="CR19" s="144" t="str">
        <f>IF(ISNUMBER(CQ19),IF(ROUND((CQ19*10),0)-(CQ19*10)=0.5,IF(EVEN((CQ19*10))-(CQ19*10)=1.5,(EVEN((CQ19*10))-2)/10,EVEN((CQ19*10))/10),ROUND(CQ19,1)),"")</f>
        <v/>
      </c>
      <c r="CS19" s="19"/>
      <c r="CT19" s="19" t="str">
        <f>CONCATENATE("Lot ",CJ19," Gmb used:")</f>
        <v>Lot 1.1 Gmb used:</v>
      </c>
      <c r="CU19" s="19"/>
      <c r="CV19" s="32" t="str">
        <f>P19</f>
        <v/>
      </c>
      <c r="CX19" s="28" t="s">
        <v>384</v>
      </c>
      <c r="CY19" s="168"/>
      <c r="CZ19" s="168"/>
      <c r="DA19" s="31"/>
      <c r="DB19" s="168">
        <f>B19</f>
        <v>1</v>
      </c>
      <c r="DC19" s="168" t="e">
        <f>IF(ISNUMBER(DB19),$AK$18,"")</f>
        <v>#VALUE!</v>
      </c>
      <c r="DD19" s="168" t="str">
        <f>IF(ISNUMBER(DB19),IF($DE$10="Sq Yd inch",$P$3/$DE$11,""),"")</f>
        <v/>
      </c>
      <c r="DE19" s="168" t="e">
        <f>IF($DE$10="Tons",DC19,DD19)</f>
        <v>#VALUE!</v>
      </c>
      <c r="DF19" s="203" t="str">
        <f>R19</f>
        <v/>
      </c>
      <c r="DG19" s="203" t="str">
        <f>S19</f>
        <v/>
      </c>
      <c r="DH19" s="168" t="str">
        <f>IF(ISNUMBER(DC19),IF(ISNUMBER(DG19),(DG19-1)*DC19*$DE$12,(DF19-1)*DC19*$DE$12),"")</f>
        <v/>
      </c>
      <c r="DI19" s="205" t="str">
        <f>IF(ISNUMBER(DH19),IF(ROUND((DH19*100),0)-(DH19*100)=0.5,IF(EVEN((DH19*100))-(DH19*100)=1.5,(EVEN((DH19*100))-2)/100,EVEN((DH19*100))/100),ROUND(DH19,2)),"")</f>
        <v/>
      </c>
      <c r="DJ19" s="168" t="str">
        <f>IF(ISNUMBER(DD19),IF(ISNUMBER(DG19),(DG19-1)*DE19*$DE$12,(DF19-1)*DE19*$DE$12),"")</f>
        <v/>
      </c>
      <c r="DK19" s="205" t="str">
        <f>IF(ISNUMBER(DJ19),IF(ROUND((DJ19*100),0)-(DJ19*100)=0.5,IF(EVEN((DJ19*100))-(DJ19*100)=1.5,(EVEN((DJ19*100))-2)/100,EVEN((DJ19*100))/100),ROUND(DJ19,2)),"")</f>
        <v/>
      </c>
      <c r="DL19" s="168" t="str">
        <f>IF($DE$10="Tons",DI19,DK19)</f>
        <v/>
      </c>
      <c r="DM19" s="182"/>
      <c r="DO19" s="31"/>
      <c r="DP19" s="19">
        <f t="shared" ref="DP19:DP58" si="50">D19</f>
        <v>1.1000000000000001</v>
      </c>
      <c r="DQ19" s="264" t="str">
        <f>CP19</f>
        <v/>
      </c>
      <c r="DR19" s="19" t="str">
        <f>IF(DQ19&lt;87,"Yes","")</f>
        <v/>
      </c>
      <c r="DS19" s="19">
        <f>IF(OR(DR19="Yes",DR20="Yes",DR21="Yes",DR22="Yes"),"Engr Decision",0.7)</f>
        <v>0.7</v>
      </c>
      <c r="DT19" s="19">
        <f>V19</f>
        <v>0</v>
      </c>
      <c r="DU19" s="19">
        <f>IF(DS19="Engr Decision",IF(DT19="Yes",0.5,"Rem/Repl"),DS19)</f>
        <v>0.7</v>
      </c>
      <c r="DV19" s="32"/>
      <c r="DX19" s="31">
        <f t="shared" si="14"/>
        <v>4</v>
      </c>
      <c r="DY19" s="19" t="str">
        <f t="shared" si="36"/>
        <v/>
      </c>
      <c r="DZ19" s="19" t="str">
        <f t="shared" si="37"/>
        <v/>
      </c>
      <c r="EA19" s="19" t="str">
        <f t="shared" si="38"/>
        <v/>
      </c>
      <c r="EB19" s="19" t="str">
        <f t="shared" si="39"/>
        <v/>
      </c>
      <c r="EC19" s="19" t="str">
        <f t="shared" si="19"/>
        <v/>
      </c>
      <c r="ED19" s="19" t="str">
        <f t="shared" si="20"/>
        <v/>
      </c>
      <c r="EE19" s="19" t="str">
        <f t="shared" si="21"/>
        <v/>
      </c>
      <c r="EF19" s="19" t="str">
        <f t="shared" si="22"/>
        <v/>
      </c>
      <c r="EG19" s="278" t="str">
        <f t="shared" si="23"/>
        <v/>
      </c>
      <c r="EH19" s="278" t="str">
        <f t="shared" si="24"/>
        <v/>
      </c>
      <c r="EI19" s="278" t="str">
        <f t="shared" si="25"/>
        <v/>
      </c>
      <c r="EJ19" s="278" t="str">
        <f t="shared" si="26"/>
        <v/>
      </c>
      <c r="EK19" s="19"/>
      <c r="EL19" s="19"/>
      <c r="EM19" s="32"/>
    </row>
    <row r="20" spans="1:143" x14ac:dyDescent="0.25">
      <c r="A20" s="116"/>
      <c r="B20" s="130"/>
      <c r="C20" s="131" t="s">
        <v>127</v>
      </c>
      <c r="D20" s="131">
        <f>B19+0.2</f>
        <v>1.2</v>
      </c>
      <c r="E20" s="218"/>
      <c r="F20" s="219"/>
      <c r="G20" s="240"/>
      <c r="H20" s="219"/>
      <c r="I20" s="219"/>
      <c r="J20" s="219"/>
      <c r="K20" s="219"/>
      <c r="L20" s="149">
        <f>(H20-I20)</f>
        <v>0</v>
      </c>
      <c r="M20" s="149" t="str">
        <f t="shared" si="40"/>
        <v/>
      </c>
      <c r="N20" s="150" t="str">
        <f t="shared" si="41"/>
        <v/>
      </c>
      <c r="O20" s="149" t="str">
        <f t="shared" si="42"/>
        <v/>
      </c>
      <c r="P20" s="158" t="str">
        <f>IF(BG26&gt;0,BG26,"")</f>
        <v/>
      </c>
      <c r="Q20" s="131"/>
      <c r="R20" s="162"/>
      <c r="S20" s="162"/>
      <c r="T20" s="131"/>
      <c r="U20" s="250"/>
      <c r="V20" s="116"/>
      <c r="AA20" s="4"/>
      <c r="AB20" s="2"/>
      <c r="AC20" s="3"/>
      <c r="AD20" s="2"/>
      <c r="AE20" s="5"/>
      <c r="AF20" s="5"/>
      <c r="AI20" s="18" t="s">
        <v>93</v>
      </c>
      <c r="AJ20" s="19" t="s">
        <v>94</v>
      </c>
      <c r="AK20" s="20"/>
      <c r="AN20" s="18" t="s">
        <v>82</v>
      </c>
      <c r="AO20" s="19"/>
      <c r="AP20" s="19" t="s">
        <v>105</v>
      </c>
      <c r="AQ20" s="19"/>
      <c r="AR20" s="19" t="s">
        <v>167</v>
      </c>
      <c r="AS20" s="19" t="s">
        <v>166</v>
      </c>
      <c r="AT20" s="19"/>
      <c r="AU20" s="20"/>
      <c r="AW20" s="31"/>
      <c r="AX20" s="19"/>
      <c r="AY20" s="19"/>
      <c r="AZ20" s="19" t="s">
        <v>239</v>
      </c>
      <c r="BA20" s="19" t="s">
        <v>239</v>
      </c>
      <c r="BB20" s="19" t="s">
        <v>180</v>
      </c>
      <c r="BC20" t="s">
        <v>144</v>
      </c>
      <c r="BD20" s="19" t="s">
        <v>246</v>
      </c>
      <c r="BE20" s="19" t="s">
        <v>250</v>
      </c>
      <c r="BF20" s="19" t="s">
        <v>250</v>
      </c>
      <c r="BG20" s="41" t="s">
        <v>259</v>
      </c>
      <c r="BH20" s="19"/>
      <c r="BI20" s="32"/>
      <c r="BL20" s="31">
        <f>B35</f>
        <v>5</v>
      </c>
      <c r="BM20" s="19" t="str">
        <f>IF(ISNUMBER(Q35),Q35,"")</f>
        <v/>
      </c>
      <c r="BN20" s="19" t="e">
        <f t="shared" si="27"/>
        <v>#N/A</v>
      </c>
      <c r="BO20" s="19" t="e">
        <f t="shared" si="28"/>
        <v>#N/A</v>
      </c>
      <c r="BP20" s="19" t="e">
        <f t="shared" si="29"/>
        <v>#N/A</v>
      </c>
      <c r="BQ20" s="19" t="e">
        <f t="shared" si="30"/>
        <v>#N/A</v>
      </c>
      <c r="BR20" s="19"/>
      <c r="BS20" s="19" t="str">
        <f t="shared" si="31"/>
        <v/>
      </c>
      <c r="BT20" s="19" t="str">
        <f t="shared" si="2"/>
        <v/>
      </c>
      <c r="BU20" s="19" t="str">
        <f t="shared" si="3"/>
        <v/>
      </c>
      <c r="BV20" s="19" t="str">
        <f t="shared" si="4"/>
        <v/>
      </c>
      <c r="BW20" s="19" t="str">
        <f t="shared" si="5"/>
        <v/>
      </c>
      <c r="BX20" s="19" t="str">
        <f>IF(ISNUMBER(BS20),IF($BQ$76="No",BS20,IF(BS20&gt;1,1,BS20)),IF(BS20="See Spec","See Spec",""))</f>
        <v/>
      </c>
      <c r="BY20" s="19" t="str">
        <f t="shared" si="7"/>
        <v/>
      </c>
      <c r="BZ20" s="19" t="str">
        <f t="shared" si="8"/>
        <v/>
      </c>
      <c r="CA20" s="19" t="str">
        <f t="shared" si="9"/>
        <v/>
      </c>
      <c r="CB20" s="19" t="str">
        <f t="shared" si="10"/>
        <v/>
      </c>
      <c r="CC20" s="41" t="str">
        <f>IF(BX20="See Spec",DU35,BX20)</f>
        <v/>
      </c>
      <c r="CD20" s="19" t="e">
        <f t="shared" si="11"/>
        <v>#VALUE!</v>
      </c>
      <c r="CE20" s="19" t="e">
        <f t="shared" ref="CE20:CE25" si="51">IF(CA20="",CC20*CB20,IF(CB20="",CC20*CA20,CC20*CA20*CB20))</f>
        <v>#VALUE!</v>
      </c>
      <c r="CF20" s="19" t="e">
        <f t="shared" si="12"/>
        <v>#VALUE!</v>
      </c>
      <c r="CG20" s="32" t="e">
        <f t="shared" si="13"/>
        <v>#VALUE!</v>
      </c>
      <c r="CI20" s="31"/>
      <c r="CJ20" s="19">
        <f t="shared" si="43"/>
        <v>1.2</v>
      </c>
      <c r="CK20" s="19" t="str">
        <f t="shared" si="44"/>
        <v/>
      </c>
      <c r="CL20" s="144" t="str">
        <f t="shared" si="45"/>
        <v/>
      </c>
      <c r="CM20" s="19" t="str">
        <f t="shared" si="46"/>
        <v/>
      </c>
      <c r="CN20" s="145" t="str">
        <f t="shared" si="47"/>
        <v/>
      </c>
      <c r="CO20" s="19" t="str">
        <f t="shared" si="48"/>
        <v/>
      </c>
      <c r="CP20" s="144" t="str">
        <f t="shared" si="49"/>
        <v/>
      </c>
      <c r="CQ20" s="19"/>
      <c r="CR20" s="19"/>
      <c r="CS20" s="19"/>
      <c r="CT20" s="19" t="str">
        <f>CONCATENATE("Lot ",CJ20," Gmb used:")</f>
        <v>Lot 1.2 Gmb used:</v>
      </c>
      <c r="CU20" s="19"/>
      <c r="CV20" s="32" t="str">
        <f>P20</f>
        <v/>
      </c>
      <c r="CX20" s="245" t="s">
        <v>385</v>
      </c>
      <c r="CY20" s="246"/>
      <c r="CZ20" s="246"/>
      <c r="DA20" s="31">
        <v>1</v>
      </c>
      <c r="DB20" s="19"/>
      <c r="DC20" s="19"/>
      <c r="DD20" s="19"/>
      <c r="DE20" s="19"/>
      <c r="DF20" s="19"/>
      <c r="DG20" s="19"/>
      <c r="DH20" s="19"/>
      <c r="DI20" s="19"/>
      <c r="DJ20" s="19"/>
      <c r="DK20" s="19"/>
      <c r="DL20" s="19"/>
      <c r="DM20" s="32"/>
      <c r="DO20" s="31"/>
      <c r="DP20" s="19">
        <f t="shared" si="50"/>
        <v>1.2</v>
      </c>
      <c r="DQ20" s="264" t="str">
        <f t="shared" ref="DQ20:DQ58" si="52">CP20</f>
        <v/>
      </c>
      <c r="DR20" s="19" t="str">
        <f>IF(DQ20&lt;87,"Yes","")</f>
        <v/>
      </c>
      <c r="DS20" s="19"/>
      <c r="DT20" s="19"/>
      <c r="DU20" s="19"/>
      <c r="DV20" s="32"/>
      <c r="DX20" s="31">
        <f t="shared" si="14"/>
        <v>5</v>
      </c>
      <c r="DY20" s="19" t="str">
        <f t="shared" si="36"/>
        <v/>
      </c>
      <c r="DZ20" s="19" t="str">
        <f t="shared" si="37"/>
        <v/>
      </c>
      <c r="EA20" s="19" t="str">
        <f t="shared" si="38"/>
        <v/>
      </c>
      <c r="EB20" s="19" t="str">
        <f t="shared" si="39"/>
        <v/>
      </c>
      <c r="EC20" s="19" t="str">
        <f t="shared" si="19"/>
        <v/>
      </c>
      <c r="ED20" s="19" t="str">
        <f t="shared" si="20"/>
        <v/>
      </c>
      <c r="EE20" s="19" t="str">
        <f t="shared" si="21"/>
        <v/>
      </c>
      <c r="EF20" s="19" t="str">
        <f t="shared" si="22"/>
        <v/>
      </c>
      <c r="EG20" s="278" t="str">
        <f t="shared" si="23"/>
        <v/>
      </c>
      <c r="EH20" s="278" t="str">
        <f t="shared" si="24"/>
        <v/>
      </c>
      <c r="EI20" s="278" t="str">
        <f t="shared" si="25"/>
        <v/>
      </c>
      <c r="EJ20" s="278" t="str">
        <f t="shared" si="26"/>
        <v/>
      </c>
      <c r="EK20" s="19"/>
      <c r="EL20" s="19"/>
      <c r="EM20" s="32"/>
    </row>
    <row r="21" spans="1:143" x14ac:dyDescent="0.25">
      <c r="A21" s="116"/>
      <c r="B21" s="130"/>
      <c r="C21" s="131" t="s">
        <v>128</v>
      </c>
      <c r="D21" s="131" t="str">
        <f>CONCATENATE(B19+0.1,"C")</f>
        <v>1.1C</v>
      </c>
      <c r="E21" s="218"/>
      <c r="F21" s="219"/>
      <c r="G21" s="240"/>
      <c r="H21" s="219"/>
      <c r="I21" s="219"/>
      <c r="J21" s="219"/>
      <c r="K21" s="219"/>
      <c r="L21" s="149" t="str">
        <f>IF(H21="","",(H21-I21))</f>
        <v/>
      </c>
      <c r="M21" s="149" t="str">
        <f t="shared" si="40"/>
        <v/>
      </c>
      <c r="N21" s="150" t="str">
        <f t="shared" si="41"/>
        <v/>
      </c>
      <c r="O21" s="149" t="str">
        <f t="shared" si="42"/>
        <v/>
      </c>
      <c r="P21" s="158"/>
      <c r="Q21" s="131" t="str">
        <f>IF(ISNUMBER(B19),IF(OR(BD25="Agency",BD26="Agency",$BG$84="Use Agency Cores"),"Agency Core(s) Used",""),"")</f>
        <v/>
      </c>
      <c r="R21" s="162"/>
      <c r="S21" s="162"/>
      <c r="T21" s="131"/>
      <c r="U21" s="250"/>
      <c r="V21" s="116"/>
      <c r="AA21" s="4"/>
      <c r="AB21" s="2"/>
      <c r="AC21" s="3"/>
      <c r="AD21" s="2"/>
      <c r="AE21" s="2"/>
      <c r="AF21" s="2"/>
      <c r="AI21" s="18">
        <v>1</v>
      </c>
      <c r="AJ21" s="19">
        <v>2</v>
      </c>
      <c r="AK21" s="20"/>
      <c r="AN21" s="18">
        <v>91.9</v>
      </c>
      <c r="AO21" s="19"/>
      <c r="AP21" s="19">
        <f>IF(AO16="Table A",IF(AO17="Column 2",VLOOKUP(AN21,AN32:AP40,2),VLOOKUP(AN21,AN32:AP40,3)),IF(AO17="Column 2",VLOOKUP(AN21,AR32:AT40,2),VLOOKUP(AN21,AR32:AT40,3)))</f>
        <v>0.98</v>
      </c>
      <c r="AQ21" s="19"/>
      <c r="AR21" s="19"/>
      <c r="AS21" s="19"/>
      <c r="AT21" s="19"/>
      <c r="AU21" s="20"/>
      <c r="AW21" s="31"/>
      <c r="AX21" s="19"/>
      <c r="AY21" s="19"/>
      <c r="AZ21" s="19" t="s">
        <v>234</v>
      </c>
      <c r="BA21" s="19" t="s">
        <v>235</v>
      </c>
      <c r="BB21" s="41" t="s">
        <v>242</v>
      </c>
      <c r="BC21" t="s">
        <v>233</v>
      </c>
      <c r="BD21" s="19" t="s">
        <v>232</v>
      </c>
      <c r="BE21" s="19" t="s">
        <v>251</v>
      </c>
      <c r="BF21" s="19" t="s">
        <v>251</v>
      </c>
      <c r="BG21" s="41" t="s">
        <v>260</v>
      </c>
      <c r="BH21" s="19"/>
      <c r="BI21" s="32"/>
      <c r="BL21" s="31">
        <f>B39</f>
        <v>6</v>
      </c>
      <c r="BM21" s="19" t="str">
        <f>IF(ISNUMBER(Q39),Q39,"")</f>
        <v/>
      </c>
      <c r="BN21" s="19" t="e">
        <f t="shared" si="27"/>
        <v>#N/A</v>
      </c>
      <c r="BO21" s="19" t="e">
        <f t="shared" si="28"/>
        <v>#N/A</v>
      </c>
      <c r="BP21" s="19" t="e">
        <f t="shared" si="29"/>
        <v>#N/A</v>
      </c>
      <c r="BQ21" s="19" t="e">
        <f t="shared" si="30"/>
        <v>#N/A</v>
      </c>
      <c r="BR21" s="19"/>
      <c r="BS21" s="19" t="str">
        <f t="shared" si="31"/>
        <v/>
      </c>
      <c r="BT21" s="19" t="str">
        <f t="shared" si="2"/>
        <v/>
      </c>
      <c r="BU21" s="19" t="str">
        <f t="shared" si="3"/>
        <v/>
      </c>
      <c r="BV21" s="19" t="str">
        <f t="shared" si="4"/>
        <v/>
      </c>
      <c r="BW21" s="19" t="str">
        <f t="shared" si="5"/>
        <v/>
      </c>
      <c r="BX21" s="19" t="str">
        <f t="shared" ref="BX21:BX25" si="53">IF(ISNUMBER(BS21),IF($BQ$76="No",BS21,IF(BS21&gt;1,1,BS21)),IF(BS21="See Spec","See Spec",""))</f>
        <v/>
      </c>
      <c r="BY21" s="19" t="str">
        <f t="shared" si="7"/>
        <v/>
      </c>
      <c r="BZ21" s="19" t="str">
        <f t="shared" si="8"/>
        <v/>
      </c>
      <c r="CA21" s="19" t="str">
        <f t="shared" si="9"/>
        <v/>
      </c>
      <c r="CB21" s="19" t="str">
        <f t="shared" si="10"/>
        <v/>
      </c>
      <c r="CC21" s="41" t="str">
        <f>IF(BX21="See Spec",DU39,BX21)</f>
        <v/>
      </c>
      <c r="CD21" s="19" t="e">
        <f t="shared" si="11"/>
        <v>#VALUE!</v>
      </c>
      <c r="CE21" s="19" t="e">
        <f t="shared" si="51"/>
        <v>#VALUE!</v>
      </c>
      <c r="CF21" s="19" t="e">
        <f t="shared" si="12"/>
        <v>#VALUE!</v>
      </c>
      <c r="CG21" s="32" t="e">
        <f t="shared" si="13"/>
        <v>#VALUE!</v>
      </c>
      <c r="CI21" s="31"/>
      <c r="CJ21" s="19" t="str">
        <f t="shared" si="43"/>
        <v>1.1C</v>
      </c>
      <c r="CK21" s="19" t="str">
        <f t="shared" si="44"/>
        <v/>
      </c>
      <c r="CL21" s="144" t="str">
        <f t="shared" si="45"/>
        <v/>
      </c>
      <c r="CM21" s="19" t="str">
        <f t="shared" si="46"/>
        <v/>
      </c>
      <c r="CN21" s="145" t="str">
        <f t="shared" si="47"/>
        <v/>
      </c>
      <c r="CO21" s="19" t="str">
        <f t="shared" si="48"/>
        <v/>
      </c>
      <c r="CP21" s="144" t="str">
        <f t="shared" si="49"/>
        <v/>
      </c>
      <c r="CQ21" s="19"/>
      <c r="CR21" s="19"/>
      <c r="CS21" s="19"/>
      <c r="CT21" s="19"/>
      <c r="CU21" s="19" t="s">
        <v>319</v>
      </c>
      <c r="CV21" s="32" t="e">
        <f>AVERAGE(CV19:CV20)</f>
        <v>#DIV/0!</v>
      </c>
      <c r="CX21" s="31"/>
      <c r="CY21" s="19"/>
      <c r="CZ21" s="19"/>
      <c r="DA21" s="31"/>
      <c r="DB21" s="19"/>
      <c r="DC21" s="19"/>
      <c r="DD21" s="19"/>
      <c r="DE21" s="19"/>
      <c r="DF21" s="19"/>
      <c r="DG21" s="19"/>
      <c r="DH21" s="19"/>
      <c r="DI21" s="19"/>
      <c r="DJ21" s="19"/>
      <c r="DK21" s="19"/>
      <c r="DL21" s="19"/>
      <c r="DM21" s="32"/>
      <c r="DO21" s="31"/>
      <c r="DP21" s="19" t="str">
        <f t="shared" si="50"/>
        <v>1.1C</v>
      </c>
      <c r="DQ21" s="264" t="str">
        <f t="shared" si="52"/>
        <v/>
      </c>
      <c r="DR21" s="19" t="str">
        <f t="shared" ref="DR21:DR58" si="54">IF(DQ21&lt;87,"Yes","")</f>
        <v/>
      </c>
      <c r="DS21" s="19"/>
      <c r="DT21" s="19"/>
      <c r="DU21" s="19"/>
      <c r="DV21" s="32"/>
      <c r="DX21" s="31">
        <f t="shared" si="14"/>
        <v>6</v>
      </c>
      <c r="DY21" s="19" t="str">
        <f t="shared" si="36"/>
        <v/>
      </c>
      <c r="DZ21" s="19" t="str">
        <f t="shared" si="37"/>
        <v/>
      </c>
      <c r="EA21" s="19" t="str">
        <f t="shared" si="38"/>
        <v/>
      </c>
      <c r="EB21" s="19" t="str">
        <f t="shared" si="39"/>
        <v/>
      </c>
      <c r="EC21" s="19" t="str">
        <f t="shared" si="19"/>
        <v/>
      </c>
      <c r="ED21" s="19" t="str">
        <f t="shared" si="20"/>
        <v/>
      </c>
      <c r="EE21" s="19" t="str">
        <f t="shared" si="21"/>
        <v/>
      </c>
      <c r="EF21" s="19" t="str">
        <f t="shared" si="22"/>
        <v/>
      </c>
      <c r="EG21" s="278" t="str">
        <f t="shared" si="23"/>
        <v/>
      </c>
      <c r="EH21" s="278" t="str">
        <f t="shared" si="24"/>
        <v/>
      </c>
      <c r="EI21" s="278" t="str">
        <f t="shared" si="25"/>
        <v/>
      </c>
      <c r="EJ21" s="278" t="str">
        <f t="shared" si="26"/>
        <v/>
      </c>
      <c r="EK21" s="19"/>
      <c r="EL21" s="19"/>
      <c r="EM21" s="32"/>
    </row>
    <row r="22" spans="1:143" ht="15.75" thickBot="1" x14ac:dyDescent="0.3">
      <c r="A22" s="116"/>
      <c r="B22" s="130"/>
      <c r="C22" s="131" t="s">
        <v>128</v>
      </c>
      <c r="D22" s="131" t="str">
        <f>CONCATENATE(B19+0.2,"C")</f>
        <v>1.2C</v>
      </c>
      <c r="E22" s="218"/>
      <c r="F22" s="219"/>
      <c r="G22" s="241"/>
      <c r="H22" s="219"/>
      <c r="I22" s="219"/>
      <c r="J22" s="219"/>
      <c r="K22" s="219"/>
      <c r="L22" s="149" t="str">
        <f>IF(H22="","",(H22-I22))</f>
        <v/>
      </c>
      <c r="M22" s="149" t="str">
        <f t="shared" si="40"/>
        <v/>
      </c>
      <c r="N22" s="150" t="str">
        <f t="shared" si="41"/>
        <v/>
      </c>
      <c r="O22" s="149" t="str">
        <f t="shared" si="42"/>
        <v/>
      </c>
      <c r="P22" s="158" t="str">
        <f>IF(ISNUMBER(P19),CV22,"")</f>
        <v/>
      </c>
      <c r="Q22" s="132" t="s">
        <v>143</v>
      </c>
      <c r="R22" s="162"/>
      <c r="S22" s="282"/>
      <c r="T22" s="286"/>
      <c r="U22" s="287"/>
      <c r="V22" s="252"/>
      <c r="AA22" s="4"/>
      <c r="AB22" s="2"/>
      <c r="AC22" s="3"/>
      <c r="AD22" s="2"/>
      <c r="AE22" s="2"/>
      <c r="AF22" s="2"/>
      <c r="AI22" s="18">
        <v>0</v>
      </c>
      <c r="AJ22" s="19" t="s">
        <v>231</v>
      </c>
      <c r="AK22" s="20"/>
      <c r="AN22" s="18"/>
      <c r="AO22" s="19"/>
      <c r="AP22" s="19"/>
      <c r="AQ22" s="19"/>
      <c r="AR22" s="19"/>
      <c r="AS22" s="19"/>
      <c r="AT22" s="19"/>
      <c r="AU22" s="20"/>
      <c r="AW22" s="31" t="s">
        <v>66</v>
      </c>
      <c r="AX22" s="19" t="s">
        <v>148</v>
      </c>
      <c r="AY22" s="19" t="s">
        <v>67</v>
      </c>
      <c r="AZ22" s="19" t="s">
        <v>149</v>
      </c>
      <c r="BA22" s="41" t="s">
        <v>149</v>
      </c>
      <c r="BB22" s="41" t="s">
        <v>243</v>
      </c>
      <c r="BC22" s="41" t="s">
        <v>149</v>
      </c>
      <c r="BD22" s="19" t="s">
        <v>247</v>
      </c>
      <c r="BE22" s="41" t="s">
        <v>252</v>
      </c>
      <c r="BF22" s="41" t="s">
        <v>252</v>
      </c>
      <c r="BG22" s="41" t="s">
        <v>261</v>
      </c>
      <c r="BH22" s="19"/>
      <c r="BI22" s="32"/>
      <c r="BL22" s="31">
        <f>B43</f>
        <v>7</v>
      </c>
      <c r="BM22" s="19" t="str">
        <f>IF(ISNUMBER(Q43),Q43,"")</f>
        <v/>
      </c>
      <c r="BN22" s="19" t="e">
        <f t="shared" si="27"/>
        <v>#N/A</v>
      </c>
      <c r="BO22" s="19" t="e">
        <f t="shared" si="28"/>
        <v>#N/A</v>
      </c>
      <c r="BP22" s="19" t="e">
        <f t="shared" si="29"/>
        <v>#N/A</v>
      </c>
      <c r="BQ22" s="19" t="e">
        <f t="shared" si="30"/>
        <v>#N/A</v>
      </c>
      <c r="BR22" s="19"/>
      <c r="BS22" s="19" t="str">
        <f t="shared" si="31"/>
        <v/>
      </c>
      <c r="BT22" s="19" t="str">
        <f t="shared" si="2"/>
        <v/>
      </c>
      <c r="BU22" s="19" t="str">
        <f t="shared" si="3"/>
        <v/>
      </c>
      <c r="BV22" s="19" t="str">
        <f t="shared" si="4"/>
        <v/>
      </c>
      <c r="BW22" s="19" t="str">
        <f t="shared" si="5"/>
        <v/>
      </c>
      <c r="BX22" s="19" t="str">
        <f t="shared" si="53"/>
        <v/>
      </c>
      <c r="BY22" s="19" t="str">
        <f t="shared" si="7"/>
        <v/>
      </c>
      <c r="BZ22" s="19" t="str">
        <f t="shared" si="8"/>
        <v/>
      </c>
      <c r="CA22" s="19" t="str">
        <f t="shared" si="9"/>
        <v/>
      </c>
      <c r="CB22" s="19" t="str">
        <f t="shared" si="10"/>
        <v/>
      </c>
      <c r="CC22" s="41" t="str">
        <f>IF(BX22="See Spec",DU43,BX22)</f>
        <v/>
      </c>
      <c r="CD22" s="19" t="e">
        <f t="shared" si="11"/>
        <v>#VALUE!</v>
      </c>
      <c r="CE22" s="19" t="e">
        <f t="shared" si="51"/>
        <v>#VALUE!</v>
      </c>
      <c r="CF22" s="19" t="e">
        <f t="shared" si="12"/>
        <v>#VALUE!</v>
      </c>
      <c r="CG22" s="32" t="e">
        <f t="shared" si="13"/>
        <v>#VALUE!</v>
      </c>
      <c r="CI22" s="31"/>
      <c r="CJ22" s="19" t="str">
        <f t="shared" si="43"/>
        <v>1.2C</v>
      </c>
      <c r="CK22" s="19" t="str">
        <f t="shared" si="44"/>
        <v/>
      </c>
      <c r="CL22" s="144" t="str">
        <f t="shared" si="45"/>
        <v/>
      </c>
      <c r="CM22" s="19" t="str">
        <f t="shared" si="46"/>
        <v/>
      </c>
      <c r="CN22" s="145" t="str">
        <f t="shared" si="47"/>
        <v/>
      </c>
      <c r="CO22" s="19" t="str">
        <f t="shared" si="48"/>
        <v/>
      </c>
      <c r="CP22" s="144" t="str">
        <f t="shared" si="49"/>
        <v/>
      </c>
      <c r="CQ22" s="19"/>
      <c r="CR22" s="19"/>
      <c r="CS22" s="173" t="str">
        <f>CONCATENATE("Lot ",B19)</f>
        <v>Lot 1</v>
      </c>
      <c r="CT22" s="19" t="s">
        <v>320</v>
      </c>
      <c r="CU22" s="19"/>
      <c r="CV22" s="32" t="e">
        <f>IF(ROUND((CV21*1000),0)-(CV21*1000)=0.5,IF(EVEN((CV21*1000))-(CV21*1000)=1.5,(EVEN((CV21*1000))-2)/1000,EVEN((CV21*1000))/1000),ROUND(CV21,3))</f>
        <v>#DIV/0!</v>
      </c>
      <c r="CX22" s="31" t="s">
        <v>386</v>
      </c>
      <c r="CY22" s="19"/>
      <c r="CZ22" s="19" t="str">
        <f>D14</f>
        <v>Tons</v>
      </c>
      <c r="DA22" s="31"/>
      <c r="DB22" s="19"/>
      <c r="DC22" s="19"/>
      <c r="DD22" s="19"/>
      <c r="DE22" s="19"/>
      <c r="DF22" s="19"/>
      <c r="DG22" s="19"/>
      <c r="DH22" s="19"/>
      <c r="DI22" s="35"/>
      <c r="DJ22" s="19"/>
      <c r="DK22" s="19"/>
      <c r="DL22" s="19"/>
      <c r="DM22" s="32"/>
      <c r="DO22" s="31"/>
      <c r="DP22" s="19" t="str">
        <f t="shared" si="50"/>
        <v>1.2C</v>
      </c>
      <c r="DQ22" s="264" t="str">
        <f t="shared" si="52"/>
        <v/>
      </c>
      <c r="DR22" s="19" t="str">
        <f t="shared" si="54"/>
        <v/>
      </c>
      <c r="DS22" s="19"/>
      <c r="DT22" s="19"/>
      <c r="DU22" s="19"/>
      <c r="DV22" s="32"/>
      <c r="DX22" s="31">
        <f t="shared" si="14"/>
        <v>7</v>
      </c>
      <c r="DY22" s="19" t="str">
        <f t="shared" si="36"/>
        <v/>
      </c>
      <c r="DZ22" s="19" t="str">
        <f t="shared" si="37"/>
        <v/>
      </c>
      <c r="EA22" s="19" t="str">
        <f t="shared" si="38"/>
        <v/>
      </c>
      <c r="EB22" s="19" t="str">
        <f t="shared" si="39"/>
        <v/>
      </c>
      <c r="EC22" s="19" t="str">
        <f t="shared" si="19"/>
        <v/>
      </c>
      <c r="ED22" s="19" t="str">
        <f t="shared" si="20"/>
        <v/>
      </c>
      <c r="EE22" s="19" t="str">
        <f t="shared" si="21"/>
        <v/>
      </c>
      <c r="EF22" s="19" t="str">
        <f t="shared" si="22"/>
        <v/>
      </c>
      <c r="EG22" s="278" t="str">
        <f t="shared" si="23"/>
        <v/>
      </c>
      <c r="EH22" s="278" t="str">
        <f t="shared" si="24"/>
        <v/>
      </c>
      <c r="EI22" s="278" t="str">
        <f t="shared" si="25"/>
        <v/>
      </c>
      <c r="EJ22" s="278" t="str">
        <f t="shared" si="26"/>
        <v/>
      </c>
      <c r="EK22" s="19"/>
      <c r="EL22" s="19"/>
      <c r="EM22" s="32"/>
    </row>
    <row r="23" spans="1:143" ht="15.75" thickTop="1" x14ac:dyDescent="0.25">
      <c r="A23" s="116"/>
      <c r="B23" s="128">
        <f>IF($AK$43&gt;1,B19+1,"")</f>
        <v>2</v>
      </c>
      <c r="C23" s="129" t="str">
        <f>IF(ISNUMBER(B23),"Contr. QC","")</f>
        <v>Contr. QC</v>
      </c>
      <c r="D23" s="129">
        <f>IF(ISNUMBER(B23),B23+0.1,"")</f>
        <v>2.1</v>
      </c>
      <c r="E23" s="216"/>
      <c r="F23" s="217"/>
      <c r="G23" s="242"/>
      <c r="H23" s="217"/>
      <c r="I23" s="217"/>
      <c r="J23" s="217"/>
      <c r="K23" s="217"/>
      <c r="L23" s="152">
        <f>IF(ISNUMBER(B23),(H23-I23),"")</f>
        <v>0</v>
      </c>
      <c r="M23" s="152" t="str">
        <f t="shared" si="40"/>
        <v/>
      </c>
      <c r="N23" s="153" t="str">
        <f t="shared" si="41"/>
        <v/>
      </c>
      <c r="O23" s="152" t="str">
        <f t="shared" si="42"/>
        <v/>
      </c>
      <c r="P23" s="153" t="str">
        <f>IF(BG29&gt;0,BG29,"")</f>
        <v/>
      </c>
      <c r="Q23" s="146" t="str">
        <f>CR23</f>
        <v/>
      </c>
      <c r="R23" s="161" t="str">
        <f>CC17</f>
        <v/>
      </c>
      <c r="S23" s="161" t="str">
        <f>IF(ISERR(CG17),"",CG17)</f>
        <v/>
      </c>
      <c r="T23" s="151" t="e">
        <f>DE23</f>
        <v>#VALUE!</v>
      </c>
      <c r="U23" s="284" t="str">
        <f>IF(R23="Rem/Repl","Rem/Replace",DL23)</f>
        <v/>
      </c>
      <c r="V23" s="285"/>
      <c r="AA23" s="53" t="s">
        <v>7</v>
      </c>
      <c r="AB23" s="50"/>
      <c r="AC23" s="53" t="s">
        <v>19</v>
      </c>
      <c r="AD23" s="50"/>
      <c r="AE23" s="54" t="s">
        <v>20</v>
      </c>
      <c r="AF23" s="50"/>
      <c r="AI23" s="18">
        <v>300</v>
      </c>
      <c r="AJ23" s="19">
        <v>1</v>
      </c>
      <c r="AK23" s="20"/>
      <c r="AN23" s="18"/>
      <c r="AO23" s="19"/>
      <c r="AP23" s="19"/>
      <c r="AQ23" s="19"/>
      <c r="AR23" s="19"/>
      <c r="AS23" s="19"/>
      <c r="AT23" s="19"/>
      <c r="AU23" s="20"/>
      <c r="AW23" s="31"/>
      <c r="AX23" s="19"/>
      <c r="AY23" s="19"/>
      <c r="AZ23" s="19"/>
      <c r="BA23" s="19"/>
      <c r="BB23" s="19"/>
      <c r="BD23" s="33"/>
      <c r="BE23" s="42" t="s">
        <v>253</v>
      </c>
      <c r="BF23" s="42" t="s">
        <v>254</v>
      </c>
      <c r="BG23" s="41" t="s">
        <v>232</v>
      </c>
      <c r="BH23" s="33"/>
      <c r="BI23" s="34"/>
      <c r="BL23" s="31">
        <f>B47</f>
        <v>8</v>
      </c>
      <c r="BM23" s="19" t="str">
        <f>IF(ISNUMBER(Q47),Q47,"")</f>
        <v/>
      </c>
      <c r="BN23" s="19" t="e">
        <f t="shared" si="27"/>
        <v>#N/A</v>
      </c>
      <c r="BO23" s="19" t="e">
        <f t="shared" si="28"/>
        <v>#N/A</v>
      </c>
      <c r="BP23" s="19" t="e">
        <f t="shared" si="29"/>
        <v>#N/A</v>
      </c>
      <c r="BQ23" s="19" t="e">
        <f t="shared" si="30"/>
        <v>#N/A</v>
      </c>
      <c r="BR23" s="19"/>
      <c r="BS23" s="19" t="str">
        <f t="shared" si="31"/>
        <v/>
      </c>
      <c r="BT23" s="19" t="str">
        <f t="shared" si="2"/>
        <v/>
      </c>
      <c r="BU23" s="19" t="str">
        <f t="shared" si="3"/>
        <v/>
      </c>
      <c r="BV23" s="19" t="str">
        <f t="shared" si="4"/>
        <v/>
      </c>
      <c r="BW23" s="19" t="str">
        <f t="shared" si="5"/>
        <v/>
      </c>
      <c r="BX23" s="19" t="str">
        <f t="shared" si="53"/>
        <v/>
      </c>
      <c r="BY23" s="19" t="str">
        <f t="shared" si="7"/>
        <v/>
      </c>
      <c r="BZ23" s="19" t="str">
        <f t="shared" si="8"/>
        <v/>
      </c>
      <c r="CA23" s="19" t="str">
        <f t="shared" si="9"/>
        <v/>
      </c>
      <c r="CB23" s="19" t="str">
        <f t="shared" si="10"/>
        <v/>
      </c>
      <c r="CC23" s="41" t="str">
        <f>IF(BX23="See Spec",DU47,BX23)</f>
        <v/>
      </c>
      <c r="CD23" s="19" t="e">
        <f t="shared" si="11"/>
        <v>#VALUE!</v>
      </c>
      <c r="CE23" s="19" t="e">
        <f t="shared" si="51"/>
        <v>#VALUE!</v>
      </c>
      <c r="CF23" s="19" t="e">
        <f t="shared" si="12"/>
        <v>#VALUE!</v>
      </c>
      <c r="CG23" s="32" t="e">
        <f t="shared" si="13"/>
        <v>#VALUE!</v>
      </c>
      <c r="CI23" s="31"/>
      <c r="CJ23" s="19">
        <f t="shared" si="43"/>
        <v>2.1</v>
      </c>
      <c r="CK23" s="19" t="str">
        <f t="shared" si="44"/>
        <v/>
      </c>
      <c r="CL23" s="144" t="str">
        <f t="shared" si="45"/>
        <v/>
      </c>
      <c r="CM23" s="19" t="str">
        <f t="shared" si="46"/>
        <v/>
      </c>
      <c r="CN23" s="145" t="str">
        <f t="shared" si="47"/>
        <v/>
      </c>
      <c r="CO23" s="19" t="str">
        <f t="shared" si="48"/>
        <v/>
      </c>
      <c r="CP23" s="144" t="str">
        <f t="shared" si="49"/>
        <v/>
      </c>
      <c r="CQ23" s="19" t="str">
        <f>IF(ISNUMBER(P26),(P26/$H$14)*100,"")</f>
        <v/>
      </c>
      <c r="CR23" s="144" t="str">
        <f>IF(ISNUMBER(CQ23),IF(ROUND((CQ23*10),0)-(CQ23*10)=0.5,IF(EVEN((CQ23*10))-(CQ23*10)=1.5,(EVEN((CQ23*10))-2)/10,EVEN((CQ23*10))/10),ROUND(CQ23,1)),"")</f>
        <v/>
      </c>
      <c r="CS23" s="19"/>
      <c r="CT23" s="19" t="str">
        <f>CONCATENATE("Lot ",CJ23," Gmb used:")</f>
        <v>Lot 2.1 Gmb used:</v>
      </c>
      <c r="CU23" s="19"/>
      <c r="CV23" s="32" t="str">
        <f>P23</f>
        <v/>
      </c>
      <c r="CX23" s="31"/>
      <c r="CY23" s="19"/>
      <c r="CZ23" s="19"/>
      <c r="DA23" s="31"/>
      <c r="DB23" s="168">
        <f>B23</f>
        <v>2</v>
      </c>
      <c r="DC23" s="168" t="e">
        <f>IF(ISNUMBER(DB23),$AK$18,"")</f>
        <v>#VALUE!</v>
      </c>
      <c r="DD23" s="168" t="str">
        <f>IF(ISNUMBER(DB23),IF($DE$10="Sq Yd inch",$P$3/$DE$11,""),"")</f>
        <v/>
      </c>
      <c r="DE23" s="168" t="e">
        <f>IF($DE$10="Tons",DC23,DD23)</f>
        <v>#VALUE!</v>
      </c>
      <c r="DF23" s="203" t="str">
        <f>R23</f>
        <v/>
      </c>
      <c r="DG23" s="203" t="str">
        <f>S23</f>
        <v/>
      </c>
      <c r="DH23" s="168" t="str">
        <f>IF(ISNUMBER(DC23),IF(ISNUMBER(DG23),(DG23-1)*DC23*$DE$12,(DF23-1)*DC23*$DE$12),"")</f>
        <v/>
      </c>
      <c r="DI23" s="205" t="str">
        <f>IF(ISNUMBER(DH23),IF(ROUND((DH23*100),0)-(DH23*100)=0.5,IF(EVEN((DH23*100))-(DH23*100)=1.5,(EVEN((DH23*100))-2)/100,EVEN((DH23*100))/100),ROUND(DH23,2)),"")</f>
        <v/>
      </c>
      <c r="DJ23" s="168" t="str">
        <f>IF(ISNUMBER(DD23),IF(ISNUMBER(DG23),(DG23-1)*DE23*$DE$12,(DF23-1)*DE23*$DE$12),"")</f>
        <v/>
      </c>
      <c r="DK23" s="205" t="str">
        <f>IF(ISNUMBER(DJ23),IF(ROUND((DJ23*100),0)-(DJ23*100)=0.5,IF(EVEN((DJ23*100))-(DJ23*100)=1.5,(EVEN((DJ23*100))-2)/100,EVEN((DJ23*100))/100),ROUND(DJ23,2)),"")</f>
        <v/>
      </c>
      <c r="DL23" s="168" t="str">
        <f>IF($DE$10="Tons",DI23,DK23)</f>
        <v/>
      </c>
      <c r="DM23" s="182"/>
      <c r="DO23" s="31"/>
      <c r="DP23" s="19">
        <f t="shared" si="50"/>
        <v>2.1</v>
      </c>
      <c r="DQ23" s="264" t="str">
        <f t="shared" si="52"/>
        <v/>
      </c>
      <c r="DR23" s="19" t="str">
        <f t="shared" si="54"/>
        <v/>
      </c>
      <c r="DS23" s="19">
        <f>IF(OR(DR23="Yes",DR24="Yes",DR25="Yes",DR26="Yes"),"Engr Decision",0.7)</f>
        <v>0.7</v>
      </c>
      <c r="DT23" s="19">
        <f>V23</f>
        <v>0</v>
      </c>
      <c r="DU23" s="19">
        <f>IF(DS23="Engr Decision",IF(DT23="Yes",0.5,"Rem/Repl"),DS23)</f>
        <v>0.7</v>
      </c>
      <c r="DV23" s="32"/>
      <c r="DX23" s="31">
        <f t="shared" si="14"/>
        <v>8</v>
      </c>
      <c r="DY23" s="19" t="str">
        <f t="shared" si="36"/>
        <v/>
      </c>
      <c r="DZ23" s="19" t="str">
        <f t="shared" si="37"/>
        <v/>
      </c>
      <c r="EA23" s="19" t="str">
        <f t="shared" si="38"/>
        <v/>
      </c>
      <c r="EB23" s="19" t="str">
        <f t="shared" si="39"/>
        <v/>
      </c>
      <c r="EC23" s="19" t="str">
        <f t="shared" si="19"/>
        <v/>
      </c>
      <c r="ED23" s="19" t="str">
        <f t="shared" si="20"/>
        <v/>
      </c>
      <c r="EE23" s="19" t="str">
        <f t="shared" si="21"/>
        <v/>
      </c>
      <c r="EF23" s="19" t="str">
        <f t="shared" si="22"/>
        <v/>
      </c>
      <c r="EG23" s="278" t="str">
        <f t="shared" si="23"/>
        <v/>
      </c>
      <c r="EH23" s="278" t="str">
        <f t="shared" si="24"/>
        <v/>
      </c>
      <c r="EI23" s="278" t="str">
        <f t="shared" si="25"/>
        <v/>
      </c>
      <c r="EJ23" s="278" t="str">
        <f t="shared" si="26"/>
        <v/>
      </c>
      <c r="EK23" s="19"/>
      <c r="EL23" s="19"/>
      <c r="EM23" s="32"/>
    </row>
    <row r="24" spans="1:143" x14ac:dyDescent="0.25">
      <c r="A24" s="116"/>
      <c r="B24" s="130"/>
      <c r="C24" s="131" t="str">
        <f>IF(ISNUMBER(B23),"Contr. QC","")</f>
        <v>Contr. QC</v>
      </c>
      <c r="D24" s="131">
        <f>IF(ISNUMBER(B23),B23+0.2,"")</f>
        <v>2.2000000000000002</v>
      </c>
      <c r="E24" s="218"/>
      <c r="F24" s="219"/>
      <c r="G24" s="242"/>
      <c r="H24" s="219"/>
      <c r="I24" s="219"/>
      <c r="J24" s="219"/>
      <c r="K24" s="219"/>
      <c r="L24" s="149">
        <f>IF(ISNUMBER(B23),(H24-I24),"")</f>
        <v>0</v>
      </c>
      <c r="M24" s="149" t="str">
        <f t="shared" si="40"/>
        <v/>
      </c>
      <c r="N24" s="150" t="str">
        <f t="shared" si="41"/>
        <v/>
      </c>
      <c r="O24" s="149" t="str">
        <f t="shared" si="42"/>
        <v/>
      </c>
      <c r="P24" s="158" t="str">
        <f>IF(BG30&gt;0,BG30,"")</f>
        <v/>
      </c>
      <c r="Q24" s="131"/>
      <c r="R24" s="162"/>
      <c r="S24" s="162"/>
      <c r="T24" s="131"/>
      <c r="U24" s="250"/>
      <c r="V24" s="116"/>
      <c r="AA24" s="3" t="s">
        <v>45</v>
      </c>
      <c r="AB24" s="2"/>
      <c r="AC24" s="3" t="str">
        <f>D8</f>
        <v>WE (Wear)</v>
      </c>
      <c r="AD24" s="2"/>
      <c r="AE24" s="2" t="str">
        <f>IF(AC24="WE (Wear)","WE",IF(AC24="NW (Non-Wearing)","NW",IF(AC24="SHLDR-WE (Shoulder)","WE","NW")))</f>
        <v>WE</v>
      </c>
      <c r="AF24" s="2"/>
      <c r="AI24" s="18">
        <v>601</v>
      </c>
      <c r="AJ24" s="19">
        <v>2</v>
      </c>
      <c r="AK24" s="20"/>
      <c r="AN24" s="18"/>
      <c r="AO24" s="19" t="s">
        <v>111</v>
      </c>
      <c r="AP24" s="19"/>
      <c r="AQ24" s="19"/>
      <c r="AR24" s="19"/>
      <c r="AS24" s="19" t="s">
        <v>112</v>
      </c>
      <c r="AT24" s="19"/>
      <c r="AU24" s="20"/>
      <c r="AW24" s="31"/>
      <c r="AX24" s="19"/>
      <c r="AY24" s="19"/>
      <c r="AZ24" s="19"/>
      <c r="BA24" s="19"/>
      <c r="BB24" s="19"/>
      <c r="BD24" s="19"/>
      <c r="BE24" s="19"/>
      <c r="BF24" s="19"/>
      <c r="BG24" s="19"/>
      <c r="BH24" s="19"/>
      <c r="BI24" s="32"/>
      <c r="BL24" s="31">
        <f>B51</f>
        <v>9</v>
      </c>
      <c r="BM24" s="19" t="str">
        <f>IF(ISNUMBER(Q51),Q51,"")</f>
        <v/>
      </c>
      <c r="BN24" s="19" t="e">
        <f t="shared" si="27"/>
        <v>#N/A</v>
      </c>
      <c r="BO24" s="19" t="e">
        <f t="shared" si="28"/>
        <v>#N/A</v>
      </c>
      <c r="BP24" s="19" t="e">
        <f t="shared" si="29"/>
        <v>#N/A</v>
      </c>
      <c r="BQ24" s="19" t="e">
        <f t="shared" si="30"/>
        <v>#N/A</v>
      </c>
      <c r="BR24" s="19"/>
      <c r="BS24" s="19" t="str">
        <f t="shared" si="31"/>
        <v/>
      </c>
      <c r="BT24" s="19" t="str">
        <f t="shared" si="2"/>
        <v/>
      </c>
      <c r="BU24" s="19" t="str">
        <f t="shared" si="3"/>
        <v/>
      </c>
      <c r="BV24" s="19" t="str">
        <f t="shared" si="4"/>
        <v/>
      </c>
      <c r="BW24" s="19" t="str">
        <f t="shared" si="5"/>
        <v/>
      </c>
      <c r="BX24" s="19" t="str">
        <f t="shared" si="53"/>
        <v/>
      </c>
      <c r="BY24" s="19" t="str">
        <f t="shared" si="7"/>
        <v/>
      </c>
      <c r="BZ24" s="19" t="str">
        <f t="shared" si="8"/>
        <v/>
      </c>
      <c r="CA24" s="19" t="str">
        <f t="shared" si="9"/>
        <v/>
      </c>
      <c r="CB24" s="19" t="str">
        <f t="shared" si="10"/>
        <v/>
      </c>
      <c r="CC24" s="41" t="str">
        <f>IF(BX24="See Spec",DU51,BX24)</f>
        <v/>
      </c>
      <c r="CD24" s="19" t="e">
        <f t="shared" si="11"/>
        <v>#VALUE!</v>
      </c>
      <c r="CE24" s="19" t="e">
        <f t="shared" si="51"/>
        <v>#VALUE!</v>
      </c>
      <c r="CF24" s="19" t="e">
        <f t="shared" si="12"/>
        <v>#VALUE!</v>
      </c>
      <c r="CG24" s="32" t="e">
        <f t="shared" si="13"/>
        <v>#VALUE!</v>
      </c>
      <c r="CI24" s="31"/>
      <c r="CJ24" s="19">
        <f t="shared" si="43"/>
        <v>2.2000000000000002</v>
      </c>
      <c r="CK24" s="19" t="str">
        <f t="shared" si="44"/>
        <v/>
      </c>
      <c r="CL24" s="144" t="str">
        <f t="shared" si="45"/>
        <v/>
      </c>
      <c r="CM24" s="19" t="str">
        <f t="shared" si="46"/>
        <v/>
      </c>
      <c r="CN24" s="145" t="str">
        <f t="shared" si="47"/>
        <v/>
      </c>
      <c r="CO24" s="19" t="str">
        <f t="shared" si="48"/>
        <v/>
      </c>
      <c r="CP24" s="144" t="str">
        <f t="shared" si="49"/>
        <v/>
      </c>
      <c r="CQ24" s="19"/>
      <c r="CR24" s="19"/>
      <c r="CS24" s="19"/>
      <c r="CT24" s="19" t="str">
        <f>CONCATENATE("Lot ",CJ24," Gmb used:")</f>
        <v>Lot 2.2 Gmb used:</v>
      </c>
      <c r="CU24" s="19"/>
      <c r="CV24" s="32" t="str">
        <f>P24</f>
        <v/>
      </c>
      <c r="CX24" s="31" t="s">
        <v>387</v>
      </c>
      <c r="CY24" s="19"/>
      <c r="CZ24" s="19" t="str">
        <f>IF(CZ22="Sq Yd inch",P2,"Ton Project")</f>
        <v>Ton Project</v>
      </c>
      <c r="DA24" s="31">
        <v>2</v>
      </c>
      <c r="DB24" s="19"/>
      <c r="DC24" s="19"/>
      <c r="DD24" s="19"/>
      <c r="DE24" s="19"/>
      <c r="DF24" s="19"/>
      <c r="DG24" s="19"/>
      <c r="DH24" s="19"/>
      <c r="DI24" s="19"/>
      <c r="DJ24" s="19"/>
      <c r="DK24" s="19"/>
      <c r="DL24" s="19"/>
      <c r="DM24" s="32"/>
      <c r="DO24" s="31"/>
      <c r="DP24" s="19">
        <f t="shared" si="50"/>
        <v>2.2000000000000002</v>
      </c>
      <c r="DQ24" s="264" t="str">
        <f t="shared" si="52"/>
        <v/>
      </c>
      <c r="DR24" s="19" t="str">
        <f t="shared" si="54"/>
        <v/>
      </c>
      <c r="DS24" s="19"/>
      <c r="DT24" s="19"/>
      <c r="DU24" s="19"/>
      <c r="DV24" s="32"/>
      <c r="DX24" s="31">
        <f t="shared" si="14"/>
        <v>9</v>
      </c>
      <c r="DY24" s="19" t="str">
        <f t="shared" si="36"/>
        <v/>
      </c>
      <c r="DZ24" s="19" t="str">
        <f t="shared" si="37"/>
        <v/>
      </c>
      <c r="EA24" s="19" t="str">
        <f t="shared" si="38"/>
        <v/>
      </c>
      <c r="EB24" s="19" t="str">
        <f t="shared" si="39"/>
        <v/>
      </c>
      <c r="EC24" s="19" t="str">
        <f t="shared" si="19"/>
        <v/>
      </c>
      <c r="ED24" s="19" t="str">
        <f t="shared" si="20"/>
        <v/>
      </c>
      <c r="EE24" s="19" t="str">
        <f t="shared" si="21"/>
        <v/>
      </c>
      <c r="EF24" s="19" t="str">
        <f t="shared" si="22"/>
        <v/>
      </c>
      <c r="EG24" s="278" t="str">
        <f t="shared" si="23"/>
        <v/>
      </c>
      <c r="EH24" s="278" t="str">
        <f t="shared" si="24"/>
        <v/>
      </c>
      <c r="EI24" s="278" t="str">
        <f t="shared" si="25"/>
        <v/>
      </c>
      <c r="EJ24" s="278" t="str">
        <f t="shared" si="26"/>
        <v/>
      </c>
      <c r="EK24" s="19"/>
      <c r="EL24" s="19"/>
      <c r="EM24" s="32"/>
    </row>
    <row r="25" spans="1:143" x14ac:dyDescent="0.25">
      <c r="A25" s="116"/>
      <c r="B25" s="130"/>
      <c r="C25" s="131" t="str">
        <f>IF(ISNUMBER(B23),"Agency QA","")</f>
        <v>Agency QA</v>
      </c>
      <c r="D25" s="131" t="str">
        <f>IF(ISNUMBER(B23),CONCATENATE(B23+0.1,"C"),"")</f>
        <v>2.1C</v>
      </c>
      <c r="E25" s="218"/>
      <c r="F25" s="219"/>
      <c r="G25" s="242"/>
      <c r="H25" s="219"/>
      <c r="I25" s="219"/>
      <c r="J25" s="219"/>
      <c r="K25" s="219"/>
      <c r="L25" s="149" t="str">
        <f>IF(ISNUMBER(B23),IF(H25="","",(H25-I25)),"")</f>
        <v/>
      </c>
      <c r="M25" s="149" t="str">
        <f t="shared" si="40"/>
        <v/>
      </c>
      <c r="N25" s="150" t="str">
        <f t="shared" si="41"/>
        <v/>
      </c>
      <c r="O25" s="149" t="str">
        <f t="shared" si="42"/>
        <v/>
      </c>
      <c r="P25" s="158"/>
      <c r="Q25" s="131" t="str">
        <f>IF(ISNUMBER(B23),IF(OR(BD29="Agency",BD30="Agency",$BG$84="Use Agency Cores"),"Agency Core(s) Used",""),"")</f>
        <v/>
      </c>
      <c r="R25" s="162"/>
      <c r="S25" s="162"/>
      <c r="T25" s="131"/>
      <c r="U25" s="250"/>
      <c r="V25" s="116"/>
      <c r="AA25" s="3" t="s">
        <v>21</v>
      </c>
      <c r="AB25" s="2"/>
      <c r="AC25" s="3"/>
      <c r="AD25" s="2"/>
      <c r="AE25" s="2"/>
      <c r="AF25" s="2"/>
      <c r="AI25" s="18">
        <v>1001</v>
      </c>
      <c r="AJ25" s="19">
        <v>3</v>
      </c>
      <c r="AK25" s="20"/>
      <c r="AN25" s="18" t="s">
        <v>104</v>
      </c>
      <c r="AO25" s="19"/>
      <c r="AP25" s="19"/>
      <c r="AQ25" s="19"/>
      <c r="AR25" s="19" t="s">
        <v>104</v>
      </c>
      <c r="AS25" s="19"/>
      <c r="AT25" s="19"/>
      <c r="AU25" s="20"/>
      <c r="AW25" s="31">
        <f>B19</f>
        <v>1</v>
      </c>
      <c r="AX25" s="19" t="str">
        <f>C19</f>
        <v>Contr. QC</v>
      </c>
      <c r="AY25" s="19">
        <f>D19</f>
        <v>1.1000000000000001</v>
      </c>
      <c r="AZ25" s="19" t="str">
        <f>N19</f>
        <v/>
      </c>
      <c r="BA25" s="19"/>
      <c r="BB25" s="19" t="str">
        <f>IF(ISNUMBER(BA27),"Yes","No")</f>
        <v>No</v>
      </c>
      <c r="BC25" t="str">
        <f>IF(BB25="Yes",IF(ABS((AZ25-BA27))&lt;=0.03,AZ25,BA27),"")</f>
        <v/>
      </c>
      <c r="BD25" t="str">
        <f>IF(BB25="Yes",IF(ABS((AZ25-BA27))&lt;=0.03,"Contractor","Agency"),"")</f>
        <v/>
      </c>
      <c r="BE25" s="19" t="str">
        <f>IF(BD25="Contractor",BC25,"")</f>
        <v/>
      </c>
      <c r="BF25" s="19" t="str">
        <f>IF(BD25="Contractor",BA27,"")</f>
        <v/>
      </c>
      <c r="BG25" s="19" t="str">
        <f>IF(AND($BG$84="Use Agency Cores",ISNUMBER(BA27)),BA27,IF(BD25="Agency",BC25,AZ25))</f>
        <v/>
      </c>
      <c r="BH25" s="19"/>
      <c r="BI25" s="32"/>
      <c r="BL25" s="31">
        <f>B55</f>
        <v>10</v>
      </c>
      <c r="BM25" s="19" t="str">
        <f>IF(ISNUMBER(Q55),Q55,"")</f>
        <v/>
      </c>
      <c r="BN25" s="19" t="e">
        <f t="shared" si="27"/>
        <v>#N/A</v>
      </c>
      <c r="BO25" s="19" t="e">
        <f t="shared" si="28"/>
        <v>#N/A</v>
      </c>
      <c r="BP25" s="19" t="e">
        <f t="shared" si="29"/>
        <v>#N/A</v>
      </c>
      <c r="BQ25" s="19" t="e">
        <f t="shared" si="30"/>
        <v>#N/A</v>
      </c>
      <c r="BR25" s="19"/>
      <c r="BS25" s="19" t="str">
        <f t="shared" si="31"/>
        <v/>
      </c>
      <c r="BT25" s="19" t="str">
        <f t="shared" si="2"/>
        <v/>
      </c>
      <c r="BU25" s="19" t="str">
        <f t="shared" si="3"/>
        <v/>
      </c>
      <c r="BV25" s="19" t="str">
        <f t="shared" si="4"/>
        <v/>
      </c>
      <c r="BW25" s="19" t="str">
        <f t="shared" si="5"/>
        <v/>
      </c>
      <c r="BX25" s="19" t="str">
        <f t="shared" si="53"/>
        <v/>
      </c>
      <c r="BY25" s="19" t="str">
        <f t="shared" si="7"/>
        <v/>
      </c>
      <c r="BZ25" s="19" t="str">
        <f t="shared" si="8"/>
        <v/>
      </c>
      <c r="CA25" s="19" t="str">
        <f t="shared" si="9"/>
        <v/>
      </c>
      <c r="CB25" s="19" t="str">
        <f t="shared" si="10"/>
        <v/>
      </c>
      <c r="CC25" s="41" t="str">
        <f>IF(BX25="See Spec",DU55,BX25)</f>
        <v/>
      </c>
      <c r="CD25" s="19" t="e">
        <f t="shared" si="11"/>
        <v>#VALUE!</v>
      </c>
      <c r="CE25" s="19" t="e">
        <f t="shared" si="51"/>
        <v>#VALUE!</v>
      </c>
      <c r="CF25" s="19" t="e">
        <f t="shared" si="12"/>
        <v>#VALUE!</v>
      </c>
      <c r="CG25" s="32" t="e">
        <f t="shared" si="13"/>
        <v>#VALUE!</v>
      </c>
      <c r="CI25" s="31"/>
      <c r="CJ25" s="19" t="str">
        <f t="shared" si="43"/>
        <v>2.1C</v>
      </c>
      <c r="CK25" s="19" t="str">
        <f t="shared" si="44"/>
        <v/>
      </c>
      <c r="CL25" s="144" t="str">
        <f t="shared" si="45"/>
        <v/>
      </c>
      <c r="CM25" s="19" t="str">
        <f t="shared" si="46"/>
        <v/>
      </c>
      <c r="CN25" s="145" t="str">
        <f t="shared" si="47"/>
        <v/>
      </c>
      <c r="CO25" s="19" t="str">
        <f t="shared" si="48"/>
        <v/>
      </c>
      <c r="CP25" s="144" t="str">
        <f t="shared" si="49"/>
        <v/>
      </c>
      <c r="CQ25" s="19"/>
      <c r="CR25" s="19"/>
      <c r="CS25" s="19"/>
      <c r="CT25" s="19"/>
      <c r="CU25" s="19" t="s">
        <v>319</v>
      </c>
      <c r="CV25" s="32" t="e">
        <f>AVERAGE(CV23:CV24)</f>
        <v>#DIV/0!</v>
      </c>
      <c r="CX25" s="31"/>
      <c r="CY25" s="19"/>
      <c r="CZ25" s="19"/>
      <c r="DA25" s="31"/>
      <c r="DB25" s="19"/>
      <c r="DC25" s="19"/>
      <c r="DD25" s="19"/>
      <c r="DE25" s="19"/>
      <c r="DF25" s="19"/>
      <c r="DG25" s="19"/>
      <c r="DH25" s="19"/>
      <c r="DI25" s="19"/>
      <c r="DJ25" s="19"/>
      <c r="DK25" s="19"/>
      <c r="DL25" s="19"/>
      <c r="DM25" s="32"/>
      <c r="DO25" s="31"/>
      <c r="DP25" s="19" t="str">
        <f t="shared" si="50"/>
        <v>2.1C</v>
      </c>
      <c r="DQ25" s="264" t="str">
        <f t="shared" si="52"/>
        <v/>
      </c>
      <c r="DR25" s="19" t="str">
        <f t="shared" si="54"/>
        <v/>
      </c>
      <c r="DS25" s="19"/>
      <c r="DT25" s="19"/>
      <c r="DU25" s="19"/>
      <c r="DV25" s="32"/>
      <c r="DX25" s="31">
        <f t="shared" si="14"/>
        <v>10</v>
      </c>
      <c r="DY25" s="19" t="str">
        <f t="shared" si="36"/>
        <v/>
      </c>
      <c r="DZ25" s="19" t="str">
        <f t="shared" si="37"/>
        <v/>
      </c>
      <c r="EA25" s="19" t="str">
        <f t="shared" si="38"/>
        <v/>
      </c>
      <c r="EB25" s="19" t="str">
        <f t="shared" si="39"/>
        <v/>
      </c>
      <c r="EC25" s="19" t="str">
        <f t="shared" si="19"/>
        <v/>
      </c>
      <c r="ED25" s="19" t="str">
        <f t="shared" si="20"/>
        <v/>
      </c>
      <c r="EE25" s="19" t="str">
        <f t="shared" si="21"/>
        <v/>
      </c>
      <c r="EF25" s="19" t="str">
        <f t="shared" si="22"/>
        <v/>
      </c>
      <c r="EG25" s="278" t="str">
        <f t="shared" si="23"/>
        <v/>
      </c>
      <c r="EH25" s="278" t="str">
        <f t="shared" si="24"/>
        <v/>
      </c>
      <c r="EI25" s="278" t="str">
        <f t="shared" si="25"/>
        <v/>
      </c>
      <c r="EJ25" s="278" t="str">
        <f t="shared" si="26"/>
        <v/>
      </c>
      <c r="EK25" s="19"/>
      <c r="EL25" s="19"/>
      <c r="EM25" s="32"/>
    </row>
    <row r="26" spans="1:143" ht="15.75" thickBot="1" x14ac:dyDescent="0.3">
      <c r="A26" s="116"/>
      <c r="B26" s="130"/>
      <c r="C26" s="131" t="str">
        <f>IF(ISNUMBER(B23),"Agency QA","")</f>
        <v>Agency QA</v>
      </c>
      <c r="D26" s="131" t="str">
        <f>IF(ISNUMBER(B23),CONCATENATE(B23+0.2,"C"),"")</f>
        <v>2.2C</v>
      </c>
      <c r="E26" s="218"/>
      <c r="F26" s="219"/>
      <c r="G26" s="242"/>
      <c r="H26" s="219"/>
      <c r="I26" s="219"/>
      <c r="J26" s="219"/>
      <c r="K26" s="219"/>
      <c r="L26" s="149" t="str">
        <f>IF(ISNUMBER(B23),IF(H26="","",(H26-I26)),"")</f>
        <v/>
      </c>
      <c r="M26" s="149" t="str">
        <f t="shared" si="40"/>
        <v/>
      </c>
      <c r="N26" s="150" t="str">
        <f t="shared" si="41"/>
        <v/>
      </c>
      <c r="O26" s="149" t="str">
        <f t="shared" si="42"/>
        <v/>
      </c>
      <c r="P26" s="158" t="str">
        <f>IF(ISNUMBER(P23),CV26,"")</f>
        <v/>
      </c>
      <c r="Q26" s="132" t="str">
        <f>IF(ISNUMBER(P26),"= Avg.Gmb","")</f>
        <v/>
      </c>
      <c r="R26" s="162"/>
      <c r="S26" s="282"/>
      <c r="T26" s="286"/>
      <c r="U26" s="287"/>
      <c r="V26" s="252"/>
      <c r="AA26" s="4" t="s">
        <v>22</v>
      </c>
      <c r="AB26" s="2"/>
      <c r="AC26" s="3"/>
      <c r="AD26" s="2"/>
      <c r="AE26" s="2"/>
      <c r="AF26" s="2"/>
      <c r="AI26" s="18">
        <v>1601</v>
      </c>
      <c r="AJ26" s="19">
        <v>4</v>
      </c>
      <c r="AK26" s="20"/>
      <c r="AN26" s="18" t="s">
        <v>95</v>
      </c>
      <c r="AO26" s="19"/>
      <c r="AP26" s="19"/>
      <c r="AQ26" s="19"/>
      <c r="AR26" s="19"/>
      <c r="AS26" s="19"/>
      <c r="AT26" s="19"/>
      <c r="AU26" s="20"/>
      <c r="AW26" s="31"/>
      <c r="AX26" s="19" t="str">
        <f t="shared" ref="AX26:AX64" si="55">C20</f>
        <v>Contr. QC</v>
      </c>
      <c r="AY26" s="19">
        <f t="shared" ref="AY26:AY64" si="56">D20</f>
        <v>1.2</v>
      </c>
      <c r="AZ26" s="19" t="str">
        <f>N20</f>
        <v/>
      </c>
      <c r="BA26" s="19"/>
      <c r="BB26" s="19" t="str">
        <f>IF(ISNUMBER(BA28),"Yes","No")</f>
        <v>No</v>
      </c>
      <c r="BC26" t="str">
        <f>IF(BB26="Yes",IF(ABS((AZ26-BA28))&lt;=0.03,AZ26,BA28),"")</f>
        <v/>
      </c>
      <c r="BD26" t="str">
        <f>IF(BB26="Yes",IF(ABS((AZ26-BA28))&lt;=0.03,"Contractor","Agency"),"")</f>
        <v/>
      </c>
      <c r="BE26" s="19" t="str">
        <f>IF(BD26="Contractor",BC26,"")</f>
        <v/>
      </c>
      <c r="BF26" s="19" t="str">
        <f>IF(BD26="Contractor",BA28,"")</f>
        <v/>
      </c>
      <c r="BG26" s="19" t="str">
        <f>IF(AND($BG$84="Use Agency Cores",ISNUMBER(BA28)),BA28,IF(BD26="Agency",BC26,AZ26))</f>
        <v/>
      </c>
      <c r="BH26" s="19"/>
      <c r="BI26" s="32"/>
      <c r="BL26" s="43"/>
      <c r="BM26" s="35"/>
      <c r="BN26" s="35"/>
      <c r="BO26" s="35"/>
      <c r="BP26" s="35"/>
      <c r="BQ26" s="35"/>
      <c r="BR26" s="35"/>
      <c r="BS26" s="35"/>
      <c r="BT26" s="35"/>
      <c r="BU26" s="35"/>
      <c r="BV26" s="35"/>
      <c r="BW26" s="35"/>
      <c r="BX26" s="35"/>
      <c r="BY26" s="35"/>
      <c r="BZ26" s="35"/>
      <c r="CA26" s="35"/>
      <c r="CB26" s="35"/>
      <c r="CC26" s="35"/>
      <c r="CD26" s="35"/>
      <c r="CE26" s="35"/>
      <c r="CF26" s="35"/>
      <c r="CG26" s="36"/>
      <c r="CI26" s="31"/>
      <c r="CJ26" s="19" t="str">
        <f t="shared" si="43"/>
        <v>2.2C</v>
      </c>
      <c r="CK26" s="19" t="str">
        <f t="shared" si="44"/>
        <v/>
      </c>
      <c r="CL26" s="144" t="str">
        <f t="shared" si="45"/>
        <v/>
      </c>
      <c r="CM26" s="19" t="str">
        <f t="shared" si="46"/>
        <v/>
      </c>
      <c r="CN26" s="145" t="str">
        <f t="shared" si="47"/>
        <v/>
      </c>
      <c r="CO26" s="19" t="str">
        <f t="shared" si="48"/>
        <v/>
      </c>
      <c r="CP26" s="144" t="str">
        <f t="shared" si="49"/>
        <v/>
      </c>
      <c r="CQ26" s="19"/>
      <c r="CR26" s="19"/>
      <c r="CS26" s="173" t="str">
        <f>CONCATENATE("Lot ",B23)</f>
        <v>Lot 2</v>
      </c>
      <c r="CT26" s="19" t="s">
        <v>320</v>
      </c>
      <c r="CU26" s="19"/>
      <c r="CV26" s="32" t="e">
        <f>IF(ROUND((CV25*1000),0)-(CV25*1000)=0.5,IF(EVEN((CV25*1000))-(CV25*1000)=1.5,(EVEN((CV25*1000))-2)/1000,EVEN((CV25*1000))/1000),ROUND(CV25,3))</f>
        <v>#DIV/0!</v>
      </c>
      <c r="CX26" s="31" t="s">
        <v>388</v>
      </c>
      <c r="CY26" s="19"/>
      <c r="CZ26" s="19">
        <f>P5</f>
        <v>0</v>
      </c>
      <c r="DA26" s="31"/>
      <c r="DB26" s="35"/>
      <c r="DC26" s="35"/>
      <c r="DD26" s="35"/>
      <c r="DE26" s="35"/>
      <c r="DF26" s="35"/>
      <c r="DG26" s="35"/>
      <c r="DH26" s="35"/>
      <c r="DI26" s="35"/>
      <c r="DJ26" s="35"/>
      <c r="DK26" s="35"/>
      <c r="DL26" s="35"/>
      <c r="DM26" s="36"/>
      <c r="DO26" s="31"/>
      <c r="DP26" s="19" t="str">
        <f t="shared" si="50"/>
        <v>2.2C</v>
      </c>
      <c r="DQ26" s="264" t="str">
        <f t="shared" si="52"/>
        <v/>
      </c>
      <c r="DR26" s="19" t="str">
        <f t="shared" si="54"/>
        <v/>
      </c>
      <c r="DS26" s="19"/>
      <c r="DT26" s="19"/>
      <c r="DU26" s="19"/>
      <c r="DV26" s="32"/>
      <c r="DX26" s="31"/>
      <c r="DY26" s="19"/>
      <c r="DZ26" s="19"/>
      <c r="EA26" s="19"/>
      <c r="EB26" s="19"/>
      <c r="EC26" s="19"/>
      <c r="ED26" s="19"/>
      <c r="EE26" s="19"/>
      <c r="EH26" s="19"/>
      <c r="EI26" s="19"/>
      <c r="EJ26" s="19"/>
      <c r="EK26" s="19"/>
      <c r="EL26" s="19"/>
      <c r="EM26" s="32"/>
    </row>
    <row r="27" spans="1:143" ht="15.75" thickTop="1" x14ac:dyDescent="0.25">
      <c r="A27" s="116"/>
      <c r="B27" s="128">
        <f>IF($AK$43&gt;2,B23+1,"")</f>
        <v>3</v>
      </c>
      <c r="C27" s="129" t="str">
        <f>IF(ISNUMBER(B27),"Contr. QC","")</f>
        <v>Contr. QC</v>
      </c>
      <c r="D27" s="129">
        <f>IF(ISNUMBER(B27),B27+0.1,"")</f>
        <v>3.1</v>
      </c>
      <c r="E27" s="216"/>
      <c r="F27" s="217"/>
      <c r="G27" s="239"/>
      <c r="H27" s="217"/>
      <c r="I27" s="217"/>
      <c r="J27" s="217"/>
      <c r="K27" s="217"/>
      <c r="L27" s="152">
        <f>IF(ISNUMBER(B27),(H27-I27),"")</f>
        <v>0</v>
      </c>
      <c r="M27" s="152" t="str">
        <f t="shared" si="40"/>
        <v/>
      </c>
      <c r="N27" s="153" t="str">
        <f t="shared" si="41"/>
        <v/>
      </c>
      <c r="O27" s="152" t="str">
        <f t="shared" si="42"/>
        <v/>
      </c>
      <c r="P27" s="153" t="str">
        <f>IF(BG33&gt;0,BG33,"")</f>
        <v/>
      </c>
      <c r="Q27" s="146" t="str">
        <f>CR27</f>
        <v/>
      </c>
      <c r="R27" s="161" t="str">
        <f>CC18</f>
        <v/>
      </c>
      <c r="S27" s="161" t="str">
        <f>IF(ISERR(CG18),"",CG18)</f>
        <v/>
      </c>
      <c r="T27" s="151" t="e">
        <f>DE27</f>
        <v>#VALUE!</v>
      </c>
      <c r="U27" s="284" t="str">
        <f>IF(R27="Rem/Repl","Rem/Replace",DL27)</f>
        <v/>
      </c>
      <c r="V27" s="285"/>
      <c r="AA27" s="4" t="s">
        <v>44</v>
      </c>
      <c r="AB27" s="2"/>
      <c r="AC27" s="3"/>
      <c r="AD27" s="2"/>
      <c r="AE27" s="2"/>
      <c r="AF27" s="2"/>
      <c r="AI27" s="18">
        <v>2601</v>
      </c>
      <c r="AJ27" s="19">
        <v>5</v>
      </c>
      <c r="AK27" s="20"/>
      <c r="AN27" s="18" t="s">
        <v>103</v>
      </c>
      <c r="AO27" s="19" t="s">
        <v>85</v>
      </c>
      <c r="AP27" s="19" t="s">
        <v>85</v>
      </c>
      <c r="AQ27" s="19"/>
      <c r="AR27" s="19" t="s">
        <v>100</v>
      </c>
      <c r="AS27" s="19" t="s">
        <v>85</v>
      </c>
      <c r="AT27" s="19" t="s">
        <v>85</v>
      </c>
      <c r="AU27" s="20"/>
      <c r="AW27" s="31"/>
      <c r="AX27" s="19" t="str">
        <f t="shared" si="55"/>
        <v>Agency QA</v>
      </c>
      <c r="AY27" s="19" t="str">
        <f t="shared" si="56"/>
        <v>1.1C</v>
      </c>
      <c r="AZ27" s="19"/>
      <c r="BA27" s="19" t="str">
        <f>N21</f>
        <v/>
      </c>
      <c r="BB27" s="19"/>
      <c r="BD27" s="19"/>
      <c r="BE27" s="19"/>
      <c r="BF27" s="19"/>
      <c r="BG27" s="19"/>
      <c r="BH27" s="19"/>
      <c r="BI27" s="32"/>
      <c r="BL27" t="s">
        <v>263</v>
      </c>
      <c r="CI27" s="31"/>
      <c r="CJ27" s="19">
        <f t="shared" si="43"/>
        <v>3.1</v>
      </c>
      <c r="CK27" s="19" t="str">
        <f t="shared" si="44"/>
        <v/>
      </c>
      <c r="CL27" s="144" t="str">
        <f t="shared" si="45"/>
        <v/>
      </c>
      <c r="CM27" s="19" t="str">
        <f t="shared" si="46"/>
        <v/>
      </c>
      <c r="CN27" s="145" t="str">
        <f t="shared" si="47"/>
        <v/>
      </c>
      <c r="CO27" s="19" t="str">
        <f t="shared" si="48"/>
        <v/>
      </c>
      <c r="CP27" s="144" t="str">
        <f t="shared" si="49"/>
        <v/>
      </c>
      <c r="CQ27" s="19" t="str">
        <f>IF(ISNUMBER(P30),(P30/$H$14)*100,"")</f>
        <v/>
      </c>
      <c r="CR27" s="144" t="str">
        <f>IF(ISNUMBER(CQ27),IF(ROUND((CQ27*10),0)-(CQ27*10)=0.5,IF(EVEN((CQ27*10))-(CQ27*10)=1.5,(EVEN((CQ27*10))-2)/10,EVEN((CQ27*10))/10),ROUND(CQ27,1)),"")</f>
        <v/>
      </c>
      <c r="CS27" s="19"/>
      <c r="CT27" s="19" t="str">
        <f>CONCATENATE("Lot ",CJ27," Gmb used:")</f>
        <v>Lot 3.1 Gmb used:</v>
      </c>
      <c r="CU27" s="19"/>
      <c r="CV27" s="32" t="str">
        <f>P27</f>
        <v/>
      </c>
      <c r="CX27" s="31"/>
      <c r="CY27" s="19"/>
      <c r="CZ27" s="19"/>
      <c r="DA27" s="31"/>
      <c r="DB27" s="168">
        <f>B27</f>
        <v>3</v>
      </c>
      <c r="DC27" s="168" t="e">
        <f>IF(ISNUMBER(DB27),$AK$18,"")</f>
        <v>#VALUE!</v>
      </c>
      <c r="DD27" s="168" t="str">
        <f>IF(ISNUMBER(DB27),IF($DE$10="Sq Yd inch",$P$3/$DE$11,""),"")</f>
        <v/>
      </c>
      <c r="DE27" s="168" t="e">
        <f>IF($DE$10="Tons",DC27,DD27)</f>
        <v>#VALUE!</v>
      </c>
      <c r="DF27" s="203" t="str">
        <f>R27</f>
        <v/>
      </c>
      <c r="DG27" s="203" t="str">
        <f>S27</f>
        <v/>
      </c>
      <c r="DH27" s="168" t="str">
        <f>IF(ISNUMBER(DC27),IF(ISNUMBER(DG27),(DG27-1)*DC27*$DE$12,(DF27-1)*DC27*$DE$12),"")</f>
        <v/>
      </c>
      <c r="DI27" s="205" t="str">
        <f>IF(ISNUMBER(DH27),IF(ROUND((DH27*100),0)-(DH27*100)=0.5,IF(EVEN((DH27*100))-(DH27*100)=1.5,(EVEN((DH27*100))-2)/100,EVEN((DH27*100))/100),ROUND(DH27,2)),"")</f>
        <v/>
      </c>
      <c r="DJ27" s="168" t="str">
        <f>IF(ISNUMBER(DD27),IF(ISNUMBER(DG27),(DG27-1)*DE27*$DE$12,(DF27-1)*DE27*$DE$12),"")</f>
        <v/>
      </c>
      <c r="DK27" s="205" t="str">
        <f>IF(ISNUMBER(DJ27),IF(ROUND((DJ27*100),0)-(DJ27*100)=0.5,IF(EVEN((DJ27*100))-(DJ27*100)=1.5,(EVEN((DJ27*100))-2)/100,EVEN((DJ27*100))/100),ROUND(DJ27,2)),"")</f>
        <v/>
      </c>
      <c r="DL27" s="168" t="str">
        <f>IF($DE$10="Tons",DI27,DK27)</f>
        <v/>
      </c>
      <c r="DM27" s="182"/>
      <c r="DO27" s="31"/>
      <c r="DP27" s="19">
        <f t="shared" si="50"/>
        <v>3.1</v>
      </c>
      <c r="DQ27" s="264" t="str">
        <f t="shared" si="52"/>
        <v/>
      </c>
      <c r="DR27" s="19" t="str">
        <f t="shared" si="54"/>
        <v/>
      </c>
      <c r="DS27" s="19">
        <f>IF(OR(DR27="Yes",DR28="Yes",DR29="Yes",DR30="Yes"),"Engr Decision",0.7)</f>
        <v>0.7</v>
      </c>
      <c r="DT27" s="19">
        <f>V27</f>
        <v>0</v>
      </c>
      <c r="DU27" s="19">
        <f>IF(DS27="Engr Decision",IF(DT27="Yes",0.5,"Rem/Repl"),DS27)</f>
        <v>0.7</v>
      </c>
      <c r="DV27" s="32"/>
      <c r="DX27" s="31"/>
      <c r="DY27" s="19"/>
      <c r="DZ27" s="19"/>
      <c r="EA27" s="19"/>
      <c r="EB27" s="19"/>
      <c r="EC27" s="19"/>
      <c r="ED27" s="19"/>
      <c r="EE27" s="19"/>
      <c r="EF27" s="19"/>
      <c r="EG27" s="281" t="str">
        <f>IF(ISNUMBER($O$63),SUM(EG16:EG25),"")</f>
        <v/>
      </c>
      <c r="EH27" s="281" t="str">
        <f>IF(ISNUMBER($O$64),SUM(EH16:EH25),"")</f>
        <v/>
      </c>
      <c r="EI27" s="281" t="str">
        <f>IF(ISNUMBER($O$67),SUM(EI16:EI25),"")</f>
        <v/>
      </c>
      <c r="EJ27" s="281" t="str">
        <f>IF(ISNUMBER($O$68),SUM(EJ16:EJ25),"")</f>
        <v/>
      </c>
      <c r="EK27" s="41"/>
      <c r="EL27" s="278"/>
      <c r="EM27" s="32"/>
    </row>
    <row r="28" spans="1:143" x14ac:dyDescent="0.25">
      <c r="A28" s="116"/>
      <c r="B28" s="130"/>
      <c r="C28" s="131" t="str">
        <f>IF(ISNUMBER(B27),"Contr. QC","")</f>
        <v>Contr. QC</v>
      </c>
      <c r="D28" s="131">
        <f>IF(ISNUMBER(B27),B27+0.2,"")</f>
        <v>3.2</v>
      </c>
      <c r="E28" s="218"/>
      <c r="F28" s="219"/>
      <c r="G28" s="240"/>
      <c r="H28" s="219"/>
      <c r="I28" s="219"/>
      <c r="J28" s="219"/>
      <c r="K28" s="219"/>
      <c r="L28" s="149">
        <f>IF(ISNUMBER(B27),(H28-I28),"")</f>
        <v>0</v>
      </c>
      <c r="M28" s="149" t="str">
        <f t="shared" si="40"/>
        <v/>
      </c>
      <c r="N28" s="150" t="str">
        <f t="shared" si="41"/>
        <v/>
      </c>
      <c r="O28" s="149" t="str">
        <f t="shared" si="42"/>
        <v/>
      </c>
      <c r="P28" s="158" t="str">
        <f>IF(BG34&gt;0,BG34,"")</f>
        <v/>
      </c>
      <c r="Q28" s="131"/>
      <c r="R28" s="162"/>
      <c r="S28" s="162"/>
      <c r="T28" s="131"/>
      <c r="U28" s="250"/>
      <c r="V28" s="116"/>
      <c r="AB28" s="2"/>
      <c r="AC28" s="3"/>
      <c r="AD28" s="2"/>
      <c r="AE28" s="2"/>
      <c r="AF28" s="2"/>
      <c r="AI28" s="18">
        <v>4601</v>
      </c>
      <c r="AJ28" s="19">
        <v>6</v>
      </c>
      <c r="AK28" s="20"/>
      <c r="AN28" s="18" t="s">
        <v>97</v>
      </c>
      <c r="AO28" s="19" t="s">
        <v>86</v>
      </c>
      <c r="AP28" s="19" t="s">
        <v>86</v>
      </c>
      <c r="AQ28" s="19"/>
      <c r="AR28" s="19" t="s">
        <v>101</v>
      </c>
      <c r="AS28" s="19" t="s">
        <v>86</v>
      </c>
      <c r="AT28" s="19" t="s">
        <v>86</v>
      </c>
      <c r="AU28" s="20"/>
      <c r="AW28" s="31"/>
      <c r="AX28" s="19" t="str">
        <f t="shared" si="55"/>
        <v>Agency QA</v>
      </c>
      <c r="AY28" s="19" t="str">
        <f t="shared" si="56"/>
        <v>1.2C</v>
      </c>
      <c r="AZ28" s="19"/>
      <c r="BA28" s="19" t="str">
        <f>N22</f>
        <v/>
      </c>
      <c r="BB28" s="19"/>
      <c r="BD28" s="19"/>
      <c r="BE28" s="19"/>
      <c r="BF28" s="19"/>
      <c r="BG28" s="19"/>
      <c r="BH28" s="19"/>
      <c r="BI28" s="32"/>
      <c r="BL28" s="101" t="s">
        <v>195</v>
      </c>
      <c r="BM28" s="102"/>
      <c r="BN28" s="102"/>
      <c r="BO28" s="102"/>
      <c r="BP28" s="102"/>
      <c r="BQ28" s="102"/>
      <c r="BR28" s="102"/>
      <c r="BS28" s="102"/>
      <c r="BT28" s="102"/>
      <c r="BU28" s="102"/>
      <c r="BV28" s="102"/>
      <c r="BW28" s="102"/>
      <c r="BX28" s="102"/>
      <c r="BY28" s="102"/>
      <c r="BZ28" s="102"/>
      <c r="CA28" s="102"/>
      <c r="CB28" s="103"/>
      <c r="CI28" s="31"/>
      <c r="CJ28" s="19">
        <f t="shared" si="43"/>
        <v>3.2</v>
      </c>
      <c r="CK28" s="19" t="str">
        <f t="shared" si="44"/>
        <v/>
      </c>
      <c r="CL28" s="144" t="str">
        <f t="shared" si="45"/>
        <v/>
      </c>
      <c r="CM28" s="19" t="str">
        <f t="shared" si="46"/>
        <v/>
      </c>
      <c r="CN28" s="145" t="str">
        <f t="shared" si="47"/>
        <v/>
      </c>
      <c r="CO28" s="19" t="str">
        <f t="shared" si="48"/>
        <v/>
      </c>
      <c r="CP28" s="144" t="str">
        <f t="shared" si="49"/>
        <v/>
      </c>
      <c r="CQ28" s="19"/>
      <c r="CR28" s="19"/>
      <c r="CS28" s="19"/>
      <c r="CT28" s="19" t="str">
        <f>CONCATENATE("Lot ",CJ28," Gmb used:")</f>
        <v>Lot 3.2 Gmb used:</v>
      </c>
      <c r="CU28" s="19"/>
      <c r="CV28" s="32" t="str">
        <f>P28</f>
        <v/>
      </c>
      <c r="CX28" s="31" t="s">
        <v>390</v>
      </c>
      <c r="CY28" s="19"/>
      <c r="CZ28" s="19"/>
      <c r="DA28" s="31">
        <v>3</v>
      </c>
      <c r="DB28" s="19"/>
      <c r="DC28" s="19"/>
      <c r="DD28" s="19"/>
      <c r="DE28" s="19"/>
      <c r="DF28" s="19"/>
      <c r="DG28" s="19"/>
      <c r="DH28" s="19"/>
      <c r="DI28" s="19"/>
      <c r="DJ28" s="19"/>
      <c r="DK28" s="19"/>
      <c r="DL28" s="19"/>
      <c r="DM28" s="32"/>
      <c r="DO28" s="31"/>
      <c r="DP28" s="19">
        <f t="shared" si="50"/>
        <v>3.2</v>
      </c>
      <c r="DQ28" s="264" t="str">
        <f t="shared" si="52"/>
        <v/>
      </c>
      <c r="DR28" s="19" t="str">
        <f t="shared" si="54"/>
        <v/>
      </c>
      <c r="DS28" s="19"/>
      <c r="DT28" s="19"/>
      <c r="DU28" s="19"/>
      <c r="DV28" s="32"/>
      <c r="DX28" s="31"/>
      <c r="DY28" s="19"/>
      <c r="DZ28" s="19"/>
      <c r="EA28" s="19"/>
      <c r="EB28" s="19"/>
      <c r="EC28" s="19"/>
      <c r="ED28" s="19"/>
      <c r="EE28" s="19"/>
      <c r="EF28" s="19"/>
      <c r="EH28" s="19"/>
      <c r="EI28" s="19"/>
      <c r="EJ28" s="19"/>
      <c r="EK28" s="19"/>
      <c r="EL28" s="41"/>
      <c r="EM28" s="32"/>
    </row>
    <row r="29" spans="1:143" x14ac:dyDescent="0.25">
      <c r="A29" s="116"/>
      <c r="B29" s="130"/>
      <c r="C29" s="131" t="str">
        <f>IF(ISNUMBER(B27),"Agency QA","")</f>
        <v>Agency QA</v>
      </c>
      <c r="D29" s="131" t="str">
        <f>IF(ISNUMBER(B27),CONCATENATE(B27+0.1,"C"),"")</f>
        <v>3.1C</v>
      </c>
      <c r="E29" s="218"/>
      <c r="F29" s="219"/>
      <c r="G29" s="240"/>
      <c r="H29" s="219"/>
      <c r="I29" s="219"/>
      <c r="J29" s="219"/>
      <c r="K29" s="219"/>
      <c r="L29" s="149" t="str">
        <f>IF(ISNUMBER(B27),IF(H29="","",(H29-I29)),"")</f>
        <v/>
      </c>
      <c r="M29" s="149" t="str">
        <f t="shared" si="40"/>
        <v/>
      </c>
      <c r="N29" s="150" t="str">
        <f t="shared" si="41"/>
        <v/>
      </c>
      <c r="O29" s="149" t="str">
        <f t="shared" si="42"/>
        <v/>
      </c>
      <c r="P29" s="158"/>
      <c r="Q29" s="131" t="str">
        <f>IF(ISNUMBER(B27),IF(OR(BD33="Agency",BD34="Agency",$BG$84="Use Agency Cores"),"Agency Core(s) Used",""),"")</f>
        <v/>
      </c>
      <c r="R29" s="162"/>
      <c r="S29" s="162"/>
      <c r="T29" s="131"/>
      <c r="U29" s="250"/>
      <c r="V29" s="251"/>
      <c r="AB29" s="2"/>
      <c r="AC29" s="3"/>
      <c r="AD29" s="2"/>
      <c r="AE29" s="2"/>
      <c r="AF29" s="2"/>
      <c r="AI29" s="18">
        <v>5501</v>
      </c>
      <c r="AJ29" s="19">
        <v>7</v>
      </c>
      <c r="AK29" s="20"/>
      <c r="AN29" s="18" t="s">
        <v>98</v>
      </c>
      <c r="AO29" s="19" t="s">
        <v>99</v>
      </c>
      <c r="AP29" s="19" t="s">
        <v>99</v>
      </c>
      <c r="AQ29" s="19"/>
      <c r="AR29" s="19" t="s">
        <v>102</v>
      </c>
      <c r="AS29" s="19" t="s">
        <v>99</v>
      </c>
      <c r="AT29" s="19" t="s">
        <v>99</v>
      </c>
      <c r="AU29" s="20"/>
      <c r="AW29" s="31">
        <f>B23</f>
        <v>2</v>
      </c>
      <c r="AX29" s="19" t="str">
        <f t="shared" si="55"/>
        <v>Contr. QC</v>
      </c>
      <c r="AY29" s="19">
        <f t="shared" si="56"/>
        <v>2.1</v>
      </c>
      <c r="AZ29" s="19" t="str">
        <f>N23</f>
        <v/>
      </c>
      <c r="BA29" s="19"/>
      <c r="BB29" s="19" t="str">
        <f>IF(ISNUMBER(BA31),"Yes","No")</f>
        <v>No</v>
      </c>
      <c r="BC29" t="str">
        <f>IF(BB29="Yes",IF(ABS((AZ29-BA31))&lt;=0.03,AZ29,BA31),"")</f>
        <v/>
      </c>
      <c r="BD29" t="str">
        <f>IF(BB29="Yes",IF(ABS((AZ29-BA31))&lt;=0.03,"Contractor","Agency"),"")</f>
        <v/>
      </c>
      <c r="BE29" s="19" t="str">
        <f>IF(BD29="Contractor",BC29,"")</f>
        <v/>
      </c>
      <c r="BF29" s="19" t="str">
        <f>IF(BD29="Contractor",BA31,"")</f>
        <v/>
      </c>
      <c r="BG29" s="19" t="str">
        <f>IF(AND($BG$84="Use Agency Cores",ISNUMBER(BA31)),BA31,IF(BD29="Agency",BC29,AZ29))</f>
        <v/>
      </c>
      <c r="BH29" s="19"/>
      <c r="BI29" s="32"/>
      <c r="BL29" s="31"/>
      <c r="BM29" s="19"/>
      <c r="BN29" s="19"/>
      <c r="BO29" s="19"/>
      <c r="BP29" s="19"/>
      <c r="BQ29" s="19"/>
      <c r="BR29" s="19"/>
      <c r="BS29" s="19"/>
      <c r="BT29" s="19"/>
      <c r="BU29" s="19"/>
      <c r="BV29" s="19"/>
      <c r="BW29" s="19"/>
      <c r="BX29" s="19"/>
      <c r="BY29" s="19"/>
      <c r="BZ29" s="19"/>
      <c r="CA29" s="19"/>
      <c r="CB29" s="32"/>
      <c r="CI29" s="31"/>
      <c r="CJ29" s="19" t="str">
        <f t="shared" si="43"/>
        <v>3.1C</v>
      </c>
      <c r="CK29" s="19" t="str">
        <f t="shared" si="44"/>
        <v/>
      </c>
      <c r="CL29" s="144" t="str">
        <f t="shared" si="45"/>
        <v/>
      </c>
      <c r="CM29" s="19" t="str">
        <f t="shared" si="46"/>
        <v/>
      </c>
      <c r="CN29" s="145" t="str">
        <f t="shared" si="47"/>
        <v/>
      </c>
      <c r="CO29" s="19" t="str">
        <f t="shared" si="48"/>
        <v/>
      </c>
      <c r="CP29" s="144" t="str">
        <f t="shared" si="49"/>
        <v/>
      </c>
      <c r="CQ29" s="19"/>
      <c r="CR29" s="19"/>
      <c r="CS29" s="19"/>
      <c r="CT29" s="19"/>
      <c r="CU29" s="19" t="s">
        <v>319</v>
      </c>
      <c r="CV29" s="32" t="e">
        <f>AVERAGE(CV27:CV28)</f>
        <v>#DIV/0!</v>
      </c>
      <c r="CX29" s="31" t="s">
        <v>389</v>
      </c>
      <c r="CY29" s="19"/>
      <c r="CZ29" s="19">
        <v>110</v>
      </c>
      <c r="DA29" s="31"/>
      <c r="DB29" s="19"/>
      <c r="DC29" s="19"/>
      <c r="DD29" s="19"/>
      <c r="DE29" s="19"/>
      <c r="DF29" s="19"/>
      <c r="DG29" s="19"/>
      <c r="DH29" s="19"/>
      <c r="DI29" s="19"/>
      <c r="DJ29" s="19"/>
      <c r="DK29" s="19"/>
      <c r="DL29" s="19"/>
      <c r="DM29" s="32"/>
      <c r="DO29" s="31"/>
      <c r="DP29" s="19" t="str">
        <f t="shared" si="50"/>
        <v>3.1C</v>
      </c>
      <c r="DQ29" s="264" t="str">
        <f t="shared" si="52"/>
        <v/>
      </c>
      <c r="DR29" s="19" t="str">
        <f t="shared" si="54"/>
        <v/>
      </c>
      <c r="DS29" s="19"/>
      <c r="DT29" s="19"/>
      <c r="DU29" s="19"/>
      <c r="DV29" s="32"/>
      <c r="DX29" s="31"/>
      <c r="DY29" s="19"/>
      <c r="DZ29" s="19"/>
      <c r="EA29" s="19"/>
      <c r="EB29" s="19"/>
      <c r="EC29" s="19"/>
      <c r="ED29" s="19"/>
      <c r="EE29" s="19"/>
      <c r="EF29" s="19"/>
      <c r="EG29" t="s">
        <v>436</v>
      </c>
      <c r="EH29" t="s">
        <v>437</v>
      </c>
      <c r="EI29" t="s">
        <v>436</v>
      </c>
      <c r="EJ29" t="s">
        <v>437</v>
      </c>
      <c r="EK29" s="41"/>
      <c r="EL29" s="41"/>
      <c r="EM29" s="32"/>
    </row>
    <row r="30" spans="1:143" ht="15.75" thickBot="1" x14ac:dyDescent="0.3">
      <c r="A30" s="116"/>
      <c r="B30" s="130"/>
      <c r="C30" s="131" t="str">
        <f>IF(ISNUMBER(B27),"Agency QA","")</f>
        <v>Agency QA</v>
      </c>
      <c r="D30" s="131" t="str">
        <f>IF(ISNUMBER(B27),CONCATENATE(B27+0.2,"C"),"")</f>
        <v>3.2C</v>
      </c>
      <c r="E30" s="218"/>
      <c r="F30" s="219"/>
      <c r="G30" s="241"/>
      <c r="H30" s="219"/>
      <c r="I30" s="219"/>
      <c r="J30" s="219"/>
      <c r="K30" s="219"/>
      <c r="L30" s="149" t="str">
        <f>IF(ISNUMBER(B27),IF(H30="","",(H30-I30)),"")</f>
        <v/>
      </c>
      <c r="M30" s="154" t="str">
        <f t="shared" si="40"/>
        <v/>
      </c>
      <c r="N30" s="155" t="str">
        <f t="shared" si="41"/>
        <v/>
      </c>
      <c r="O30" s="154" t="str">
        <f t="shared" si="42"/>
        <v/>
      </c>
      <c r="P30" s="158" t="str">
        <f>IF(ISNUMBER(P27),CV30,"")</f>
        <v/>
      </c>
      <c r="Q30" s="132" t="str">
        <f>IF(ISNUMBER(P30),"= Avg. Gmb","")</f>
        <v/>
      </c>
      <c r="R30" s="162"/>
      <c r="S30" s="282"/>
      <c r="T30" s="286"/>
      <c r="U30" s="287"/>
      <c r="V30" s="252"/>
      <c r="AB30" s="2"/>
      <c r="AC30" s="3"/>
      <c r="AD30" s="2"/>
      <c r="AE30" s="2"/>
      <c r="AF30" s="2"/>
      <c r="AI30" s="18">
        <v>6401</v>
      </c>
      <c r="AJ30" s="19">
        <v>8</v>
      </c>
      <c r="AK30" s="20"/>
      <c r="AN30" s="18"/>
      <c r="AO30" s="19" t="s">
        <v>107</v>
      </c>
      <c r="AP30" s="19" t="s">
        <v>108</v>
      </c>
      <c r="AQ30" s="19"/>
      <c r="AR30" s="19"/>
      <c r="AS30" s="19" t="s">
        <v>107</v>
      </c>
      <c r="AT30" s="19" t="s">
        <v>108</v>
      </c>
      <c r="AU30" s="20"/>
      <c r="AW30" s="31"/>
      <c r="AX30" s="19" t="str">
        <f t="shared" si="55"/>
        <v>Contr. QC</v>
      </c>
      <c r="AY30" s="19">
        <f t="shared" si="56"/>
        <v>2.2000000000000002</v>
      </c>
      <c r="AZ30" s="41" t="str">
        <f>N24</f>
        <v/>
      </c>
      <c r="BA30" s="19"/>
      <c r="BB30" s="19" t="str">
        <f>IF(ISNUMBER(BA32),"Yes","No")</f>
        <v>No</v>
      </c>
      <c r="BC30" t="str">
        <f>IF(BB30="Yes",IF(ABS((AZ30-BA32))&lt;=0.03,AZ30,BA32),"")</f>
        <v/>
      </c>
      <c r="BD30" t="str">
        <f>IF(BB30="Yes",IF(ABS((AZ30-BA32))&lt;=0.03,"Contractor","Agency"),"")</f>
        <v/>
      </c>
      <c r="BE30" s="19" t="str">
        <f>IF(BD30="Contractor",BC30,"")</f>
        <v/>
      </c>
      <c r="BF30" s="19" t="str">
        <f>IF(BD30="Contractor",BA32,"")</f>
        <v/>
      </c>
      <c r="BG30" s="19" t="str">
        <f>IF(AND($BG$84="Use Agency Cores",ISNUMBER(BA32)),BA32,IF(BD30="Agency",BC30,AZ30))</f>
        <v/>
      </c>
      <c r="BH30" s="19"/>
      <c r="BI30" s="32"/>
      <c r="BL30" s="31" t="s">
        <v>155</v>
      </c>
      <c r="BM30" s="19">
        <f>AC46</f>
        <v>40</v>
      </c>
      <c r="BN30" s="19"/>
      <c r="BO30" s="19"/>
      <c r="BP30" s="19"/>
      <c r="BQ30" s="19"/>
      <c r="BR30" s="19"/>
      <c r="BS30" s="19"/>
      <c r="BT30" s="19"/>
      <c r="BU30" s="19"/>
      <c r="BV30" s="19"/>
      <c r="BW30" s="19"/>
      <c r="BX30" s="19" t="s">
        <v>271</v>
      </c>
      <c r="BY30" s="19" t="s">
        <v>271</v>
      </c>
      <c r="BZ30" s="19"/>
      <c r="CA30" s="19"/>
      <c r="CB30" s="32"/>
      <c r="CI30" s="31"/>
      <c r="CJ30" s="19" t="str">
        <f t="shared" si="43"/>
        <v>3.2C</v>
      </c>
      <c r="CK30" s="19" t="str">
        <f t="shared" si="44"/>
        <v/>
      </c>
      <c r="CL30" s="144" t="str">
        <f t="shared" si="45"/>
        <v/>
      </c>
      <c r="CM30" s="19" t="str">
        <f t="shared" si="46"/>
        <v/>
      </c>
      <c r="CN30" s="145" t="str">
        <f t="shared" si="47"/>
        <v/>
      </c>
      <c r="CO30" s="19" t="str">
        <f t="shared" si="48"/>
        <v/>
      </c>
      <c r="CP30" s="144" t="str">
        <f t="shared" si="49"/>
        <v/>
      </c>
      <c r="CQ30" s="19"/>
      <c r="CR30" s="19"/>
      <c r="CS30" s="173" t="str">
        <f>CONCATENATE("Lot ",B27)</f>
        <v>Lot 3</v>
      </c>
      <c r="CT30" s="19" t="s">
        <v>320</v>
      </c>
      <c r="CU30" s="19"/>
      <c r="CV30" s="32" t="e">
        <f>IF(ROUND((CV29*1000),0)-(CV29*1000)=0.5,IF(EVEN((CV29*1000))-(CV29*1000)=1.5,(EVEN((CV29*1000))-2)/1000,EVEN((CV29*1000))/1000),ROUND(CV29,3))</f>
        <v>#DIV/0!</v>
      </c>
      <c r="CX30" s="31" t="s">
        <v>391</v>
      </c>
      <c r="CY30" s="19"/>
      <c r="CZ30" s="19"/>
      <c r="DA30" s="31"/>
      <c r="DB30" s="35"/>
      <c r="DC30" s="35"/>
      <c r="DD30" s="35"/>
      <c r="DE30" s="35"/>
      <c r="DF30" s="35"/>
      <c r="DG30" s="35"/>
      <c r="DH30" s="35"/>
      <c r="DI30" s="35"/>
      <c r="DJ30" s="35"/>
      <c r="DK30" s="35"/>
      <c r="DL30" s="35"/>
      <c r="DM30" s="36"/>
      <c r="DO30" s="31"/>
      <c r="DP30" s="19" t="str">
        <f t="shared" si="50"/>
        <v>3.2C</v>
      </c>
      <c r="DQ30" s="264" t="str">
        <f t="shared" si="52"/>
        <v/>
      </c>
      <c r="DR30" s="19" t="str">
        <f t="shared" si="54"/>
        <v/>
      </c>
      <c r="DS30" s="19"/>
      <c r="DT30" s="19"/>
      <c r="DU30" s="19"/>
      <c r="DV30" s="32"/>
      <c r="DX30" s="31"/>
      <c r="DY30" s="19"/>
      <c r="DZ30" s="19"/>
      <c r="EA30" s="19"/>
      <c r="EB30" s="19"/>
      <c r="EC30" s="19"/>
      <c r="ED30" s="19"/>
      <c r="EE30" s="19"/>
      <c r="EF30" s="19"/>
      <c r="EG30" s="19" t="s">
        <v>174</v>
      </c>
      <c r="EH30" s="19" t="s">
        <v>174</v>
      </c>
      <c r="EI30" s="19" t="s">
        <v>431</v>
      </c>
      <c r="EJ30" s="19" t="s">
        <v>431</v>
      </c>
      <c r="EK30" s="19"/>
      <c r="EL30" s="19"/>
      <c r="EM30" s="32"/>
    </row>
    <row r="31" spans="1:143" ht="15.75" thickTop="1" x14ac:dyDescent="0.25">
      <c r="A31" s="116"/>
      <c r="B31" s="128">
        <f>IF($AK$43&gt;3,B27+1,"")</f>
        <v>4</v>
      </c>
      <c r="C31" s="129" t="str">
        <f>IF(ISNUMBER(B31),"Contr. QC","")</f>
        <v>Contr. QC</v>
      </c>
      <c r="D31" s="129">
        <f>IF(ISNUMBER(B31),B31+0.1,"")</f>
        <v>4.0999999999999996</v>
      </c>
      <c r="E31" s="216"/>
      <c r="F31" s="217"/>
      <c r="G31" s="242"/>
      <c r="H31" s="217"/>
      <c r="I31" s="217"/>
      <c r="J31" s="217"/>
      <c r="K31" s="217"/>
      <c r="L31" s="152">
        <f>IF(ISNUMBER(B31),(H31-I31),"")</f>
        <v>0</v>
      </c>
      <c r="M31" s="149" t="str">
        <f t="shared" si="40"/>
        <v/>
      </c>
      <c r="N31" s="150" t="str">
        <f t="shared" si="41"/>
        <v/>
      </c>
      <c r="O31" s="149" t="str">
        <f t="shared" si="42"/>
        <v/>
      </c>
      <c r="P31" s="153" t="str">
        <f>IF(BG37&gt;0,BG37,"")</f>
        <v/>
      </c>
      <c r="Q31" s="146" t="str">
        <f>CR31</f>
        <v/>
      </c>
      <c r="R31" s="161" t="str">
        <f>CC19</f>
        <v/>
      </c>
      <c r="S31" s="161" t="str">
        <f>IF(ISERR(CG19),"",CG19)</f>
        <v/>
      </c>
      <c r="T31" s="151" t="e">
        <f>DE31</f>
        <v>#VALUE!</v>
      </c>
      <c r="U31" s="284" t="str">
        <f>IF(R31="Rem/Repl","Rem/Replace",DL31)</f>
        <v/>
      </c>
      <c r="V31" s="285"/>
      <c r="AA31" s="4"/>
      <c r="AB31" s="2"/>
      <c r="AC31" s="3"/>
      <c r="AD31" s="2"/>
      <c r="AE31" s="2"/>
      <c r="AF31" s="2"/>
      <c r="AI31" s="18">
        <v>7301</v>
      </c>
      <c r="AJ31" s="19">
        <v>9</v>
      </c>
      <c r="AK31" s="20"/>
      <c r="AN31" s="18">
        <v>1</v>
      </c>
      <c r="AO31" s="19">
        <v>2</v>
      </c>
      <c r="AP31" s="19">
        <v>3</v>
      </c>
      <c r="AQ31" s="19"/>
      <c r="AR31" s="19">
        <v>1</v>
      </c>
      <c r="AS31" s="19">
        <v>2</v>
      </c>
      <c r="AT31" s="19">
        <v>3</v>
      </c>
      <c r="AU31" s="20"/>
      <c r="AW31" s="31"/>
      <c r="AX31" s="19" t="str">
        <f t="shared" si="55"/>
        <v>Agency QA</v>
      </c>
      <c r="AY31" s="19" t="str">
        <f t="shared" si="56"/>
        <v>2.1C</v>
      </c>
      <c r="AZ31" s="19"/>
      <c r="BA31" s="19" t="str">
        <f>N25</f>
        <v/>
      </c>
      <c r="BB31" s="19"/>
      <c r="BD31" s="19"/>
      <c r="BE31" s="19"/>
      <c r="BF31" s="19"/>
      <c r="BG31" s="19"/>
      <c r="BH31" s="19"/>
      <c r="BI31" s="32"/>
      <c r="BL31" s="31" t="s">
        <v>193</v>
      </c>
      <c r="BM31" s="19">
        <f>AE40</f>
        <v>3</v>
      </c>
      <c r="BN31" s="19"/>
      <c r="BO31" s="19"/>
      <c r="BP31" s="19"/>
      <c r="BQ31" s="19"/>
      <c r="BR31" s="19"/>
      <c r="BS31" s="19"/>
      <c r="BT31" s="19"/>
      <c r="BU31" s="19"/>
      <c r="BV31" s="19" t="s">
        <v>207</v>
      </c>
      <c r="BW31" s="19"/>
      <c r="BX31" s="19" t="s">
        <v>272</v>
      </c>
      <c r="BY31" s="19" t="s">
        <v>272</v>
      </c>
      <c r="BZ31" s="19"/>
      <c r="CA31" s="19"/>
      <c r="CB31" s="32"/>
      <c r="CI31" s="31"/>
      <c r="CJ31" s="19">
        <f t="shared" si="43"/>
        <v>4.0999999999999996</v>
      </c>
      <c r="CK31" s="19" t="str">
        <f t="shared" si="44"/>
        <v/>
      </c>
      <c r="CL31" s="144" t="str">
        <f t="shared" si="45"/>
        <v/>
      </c>
      <c r="CM31" s="19" t="str">
        <f t="shared" si="46"/>
        <v/>
      </c>
      <c r="CN31" s="145" t="str">
        <f t="shared" si="47"/>
        <v/>
      </c>
      <c r="CO31" s="19" t="str">
        <f t="shared" si="48"/>
        <v/>
      </c>
      <c r="CP31" s="144" t="str">
        <f t="shared" si="49"/>
        <v/>
      </c>
      <c r="CQ31" s="19" t="str">
        <f>IF(ISNUMBER(P34),(P34/$H$14)*100,"")</f>
        <v/>
      </c>
      <c r="CR31" s="144" t="str">
        <f>IF(ISNUMBER(CQ31),IF(ROUND((CQ31*10),0)-(CQ31*10)=0.5,IF(EVEN((CQ31*10))-(CQ31*10)=1.5,(EVEN((CQ31*10))-2)/10,EVEN((CQ31*10))/10),ROUND(CQ31,1)),"")</f>
        <v/>
      </c>
      <c r="CS31" s="19"/>
      <c r="CT31" s="19" t="str">
        <f>CONCATENATE("Lot ",CJ31," Gmb used:")</f>
        <v>Lot 4.1 Gmb used:</v>
      </c>
      <c r="CU31" s="19"/>
      <c r="CV31" s="32" t="str">
        <f>P31</f>
        <v/>
      </c>
      <c r="CX31" s="31"/>
      <c r="CY31" s="19"/>
      <c r="CZ31" s="19"/>
      <c r="DA31" s="31"/>
      <c r="DB31" s="19">
        <f>B31</f>
        <v>4</v>
      </c>
      <c r="DC31" s="168" t="e">
        <f>IF(ISNUMBER(DB31),$AK$18,"")</f>
        <v>#VALUE!</v>
      </c>
      <c r="DD31" s="168" t="str">
        <f>IF(ISNUMBER(DB31),IF($DE$10="Sq Yd inch",$P$3/$DE$11,""),"")</f>
        <v/>
      </c>
      <c r="DE31" s="168" t="e">
        <f>IF($DE$10="Tons",DC31,DD31)</f>
        <v>#VALUE!</v>
      </c>
      <c r="DF31" s="203" t="str">
        <f>R31</f>
        <v/>
      </c>
      <c r="DG31" s="203" t="str">
        <f>S31</f>
        <v/>
      </c>
      <c r="DH31" s="168" t="str">
        <f>IF(ISNUMBER(DC31),IF(ISNUMBER(DG31),(DG31-1)*DC31*$DE$12,(DF31-1)*DC31*$DE$12),"")</f>
        <v/>
      </c>
      <c r="DI31" s="205" t="str">
        <f>IF(ISNUMBER(DH31),IF(ROUND((DH31*100),0)-(DH31*100)=0.5,IF(EVEN((DH31*100))-(DH31*100)=1.5,(EVEN((DH31*100))-2)/100,EVEN((DH31*100))/100),ROUND(DH31,2)),"")</f>
        <v/>
      </c>
      <c r="DJ31" s="168" t="str">
        <f>IF(ISNUMBER(DD31),IF(ISNUMBER(DG31),(DG31-1)*DE31*$DE$12,(DF31-1)*DE31*$DE$12),"")</f>
        <v/>
      </c>
      <c r="DK31" s="205" t="str">
        <f>IF(ISNUMBER(DJ31),IF(ROUND((DJ31*100),0)-(DJ31*100)=0.5,IF(EVEN((DJ31*100))-(DJ31*100)=1.5,(EVEN((DJ31*100))-2)/100,EVEN((DJ31*100))/100),ROUND(DJ31,2)),"")</f>
        <v/>
      </c>
      <c r="DL31" s="168" t="str">
        <f>IF($DE$10="Tons",DI31,DK31)</f>
        <v/>
      </c>
      <c r="DM31" s="32"/>
      <c r="DO31" s="31"/>
      <c r="DP31" s="19">
        <f t="shared" si="50"/>
        <v>4.0999999999999996</v>
      </c>
      <c r="DQ31" s="264" t="str">
        <f t="shared" si="52"/>
        <v/>
      </c>
      <c r="DR31" s="19" t="str">
        <f t="shared" si="54"/>
        <v/>
      </c>
      <c r="DS31" s="19">
        <f>IF(OR(DR31="Yes",DR32="Yes",DR33="Yes",DR34="Yes"),"Engr Decision",0.7)</f>
        <v>0.7</v>
      </c>
      <c r="DT31" s="19">
        <f>V31</f>
        <v>0</v>
      </c>
      <c r="DU31" s="19">
        <f>IF(DS31="Engr Decision",IF(DT31="Yes",0.5,"Rem/Repl"),DS31)</f>
        <v>0.7</v>
      </c>
      <c r="DV31" s="32"/>
      <c r="DX31" s="31"/>
      <c r="DY31" s="19"/>
      <c r="DZ31" s="19"/>
      <c r="EA31" s="19"/>
      <c r="EB31" s="19"/>
      <c r="EC31" s="19"/>
      <c r="ED31" s="19"/>
      <c r="EE31" s="19"/>
      <c r="EF31" s="19"/>
      <c r="EG31" s="19" t="s">
        <v>146</v>
      </c>
      <c r="EH31" s="19" t="s">
        <v>146</v>
      </c>
      <c r="EI31" s="19" t="s">
        <v>146</v>
      </c>
      <c r="EJ31" s="19" t="s">
        <v>146</v>
      </c>
      <c r="EK31" s="19"/>
      <c r="EL31" s="19"/>
      <c r="EM31" s="32"/>
    </row>
    <row r="32" spans="1:143" x14ac:dyDescent="0.25">
      <c r="A32" s="116"/>
      <c r="B32" s="130"/>
      <c r="C32" s="131" t="str">
        <f>IF(ISNUMBER(B31),"Contr. QC","")</f>
        <v>Contr. QC</v>
      </c>
      <c r="D32" s="131">
        <f>IF(ISNUMBER(B31),B31+0.2,"")</f>
        <v>4.2</v>
      </c>
      <c r="E32" s="218"/>
      <c r="F32" s="219"/>
      <c r="G32" s="242"/>
      <c r="H32" s="219"/>
      <c r="I32" s="219"/>
      <c r="J32" s="219"/>
      <c r="K32" s="219"/>
      <c r="L32" s="149">
        <f>IF(ISNUMBER(B31),(H32-I32),"")</f>
        <v>0</v>
      </c>
      <c r="M32" s="149" t="str">
        <f t="shared" si="40"/>
        <v/>
      </c>
      <c r="N32" s="150" t="str">
        <f t="shared" si="41"/>
        <v/>
      </c>
      <c r="O32" s="149" t="str">
        <f t="shared" si="42"/>
        <v/>
      </c>
      <c r="P32" s="158" t="str">
        <f>IF(BG38&gt;0,BG38,"")</f>
        <v/>
      </c>
      <c r="Q32" s="131"/>
      <c r="R32" s="162"/>
      <c r="S32" s="162"/>
      <c r="T32" s="131"/>
      <c r="U32" s="250"/>
      <c r="V32" s="116"/>
      <c r="Z32" s="46"/>
      <c r="AA32" s="55" t="s">
        <v>23</v>
      </c>
      <c r="AB32" s="56"/>
      <c r="AC32" s="57" t="s">
        <v>50</v>
      </c>
      <c r="AD32" s="56"/>
      <c r="AE32" s="55" t="s">
        <v>24</v>
      </c>
      <c r="AF32" s="56"/>
      <c r="AI32" s="18">
        <v>8201</v>
      </c>
      <c r="AJ32" s="19">
        <v>10</v>
      </c>
      <c r="AK32" s="20"/>
      <c r="AN32" s="18">
        <v>0</v>
      </c>
      <c r="AO32" s="19" t="s">
        <v>96</v>
      </c>
      <c r="AP32" s="19" t="s">
        <v>96</v>
      </c>
      <c r="AQ32" s="19"/>
      <c r="AR32" s="19">
        <v>0</v>
      </c>
      <c r="AS32" s="19" t="s">
        <v>96</v>
      </c>
      <c r="AT32" s="19" t="s">
        <v>96</v>
      </c>
      <c r="AU32" s="20"/>
      <c r="AW32" s="31"/>
      <c r="AX32" s="19" t="str">
        <f t="shared" si="55"/>
        <v>Agency QA</v>
      </c>
      <c r="AY32" s="19" t="str">
        <f t="shared" si="56"/>
        <v>2.2C</v>
      </c>
      <c r="AZ32" s="19"/>
      <c r="BA32" s="19" t="str">
        <f>N26</f>
        <v/>
      </c>
      <c r="BB32" s="19"/>
      <c r="BD32" s="19"/>
      <c r="BE32" s="19"/>
      <c r="BF32" s="19"/>
      <c r="BG32" s="19"/>
      <c r="BH32" s="19"/>
      <c r="BI32" s="32"/>
      <c r="BL32" s="31" t="s">
        <v>194</v>
      </c>
      <c r="BM32" s="19" t="str">
        <f>IF(OR(BM31=2,BM31=3),"Traffic 2/3","Traffic 4/5")</f>
        <v>Traffic 2/3</v>
      </c>
      <c r="BN32" s="19"/>
      <c r="BO32" s="19"/>
      <c r="BP32" s="19"/>
      <c r="BQ32" s="19"/>
      <c r="BR32" s="19"/>
      <c r="BS32" s="19"/>
      <c r="BT32" s="19"/>
      <c r="BU32" s="19"/>
      <c r="BV32" s="19" t="s">
        <v>208</v>
      </c>
      <c r="BW32" s="19"/>
      <c r="BX32" s="19" t="s">
        <v>86</v>
      </c>
      <c r="BY32" s="19" t="s">
        <v>86</v>
      </c>
      <c r="BZ32" s="19"/>
      <c r="CA32" s="19"/>
      <c r="CB32" s="32"/>
      <c r="CI32" s="31"/>
      <c r="CJ32" s="19">
        <f t="shared" si="43"/>
        <v>4.2</v>
      </c>
      <c r="CK32" s="19" t="str">
        <f t="shared" si="44"/>
        <v/>
      </c>
      <c r="CL32" s="144" t="str">
        <f t="shared" si="45"/>
        <v/>
      </c>
      <c r="CM32" s="19" t="str">
        <f t="shared" si="46"/>
        <v/>
      </c>
      <c r="CN32" s="145" t="str">
        <f t="shared" si="47"/>
        <v/>
      </c>
      <c r="CO32" s="19" t="str">
        <f t="shared" si="48"/>
        <v/>
      </c>
      <c r="CP32" s="144" t="str">
        <f t="shared" si="49"/>
        <v/>
      </c>
      <c r="CQ32" s="19"/>
      <c r="CR32" s="19"/>
      <c r="CS32" s="19"/>
      <c r="CT32" s="19" t="str">
        <f>CONCATENATE("Lot ",CJ32," Gmb used:")</f>
        <v>Lot 4.2 Gmb used:</v>
      </c>
      <c r="CU32" s="19"/>
      <c r="CV32" s="32" t="str">
        <f>P32</f>
        <v/>
      </c>
      <c r="CX32" s="31" t="s">
        <v>392</v>
      </c>
      <c r="CY32" s="19"/>
      <c r="CZ32" s="19"/>
      <c r="DA32" s="31">
        <v>4</v>
      </c>
      <c r="DB32" s="19"/>
      <c r="DC32" s="19"/>
      <c r="DD32" s="19"/>
      <c r="DE32" s="19"/>
      <c r="DF32" s="19"/>
      <c r="DG32" s="19"/>
      <c r="DH32" s="19"/>
      <c r="DI32" s="19"/>
      <c r="DJ32" s="19"/>
      <c r="DK32" s="19"/>
      <c r="DL32" s="19"/>
      <c r="DM32" s="32"/>
      <c r="DO32" s="31"/>
      <c r="DP32" s="19">
        <f t="shared" si="50"/>
        <v>4.2</v>
      </c>
      <c r="DQ32" s="264" t="str">
        <f t="shared" si="52"/>
        <v/>
      </c>
      <c r="DR32" s="19" t="str">
        <f t="shared" si="54"/>
        <v/>
      </c>
      <c r="DS32" s="19"/>
      <c r="DT32" s="19"/>
      <c r="DU32" s="19"/>
      <c r="DV32" s="32"/>
      <c r="DX32" s="31"/>
      <c r="DY32" s="19"/>
      <c r="DZ32" s="19"/>
      <c r="EA32" s="19"/>
      <c r="EB32" s="19"/>
      <c r="EC32" s="19"/>
      <c r="ED32" s="19"/>
      <c r="EE32" s="19"/>
      <c r="EF32" s="19"/>
      <c r="EG32" s="19" t="s">
        <v>85</v>
      </c>
      <c r="EH32" s="19" t="s">
        <v>85</v>
      </c>
      <c r="EI32" s="19" t="s">
        <v>85</v>
      </c>
      <c r="EJ32" s="19" t="s">
        <v>85</v>
      </c>
      <c r="EK32" s="19"/>
      <c r="EL32" s="19"/>
      <c r="EM32" s="32"/>
    </row>
    <row r="33" spans="1:143" x14ac:dyDescent="0.25">
      <c r="A33" s="116"/>
      <c r="B33" s="130"/>
      <c r="C33" s="131" t="str">
        <f>IF(ISNUMBER(B31),"Agency QA","")</f>
        <v>Agency QA</v>
      </c>
      <c r="D33" s="131" t="str">
        <f>IF(ISNUMBER(B31),CONCATENATE(B31+0.1,"C"),"")</f>
        <v>4.1C</v>
      </c>
      <c r="E33" s="218"/>
      <c r="F33" s="219"/>
      <c r="G33" s="242"/>
      <c r="H33" s="219"/>
      <c r="I33" s="219"/>
      <c r="J33" s="219"/>
      <c r="K33" s="219"/>
      <c r="L33" s="149" t="str">
        <f>IF(ISNUMBER(B31),IF(H33="","",(H33-I33)),"")</f>
        <v/>
      </c>
      <c r="M33" s="149" t="str">
        <f t="shared" si="40"/>
        <v/>
      </c>
      <c r="N33" s="150" t="str">
        <f t="shared" si="41"/>
        <v/>
      </c>
      <c r="O33" s="149" t="str">
        <f t="shared" si="42"/>
        <v/>
      </c>
      <c r="P33" s="158"/>
      <c r="Q33" s="131" t="str">
        <f>IF(ISNUMBER(B31),IF(OR(BD37="Agency",BD38="Agency",$BG$84="Use Agency Cores"),"Agency Core(s) Used",""),"")</f>
        <v/>
      </c>
      <c r="R33" s="162"/>
      <c r="S33" s="162"/>
      <c r="T33" s="131"/>
      <c r="U33" s="250"/>
      <c r="V33" s="116"/>
      <c r="AA33" s="2" t="s">
        <v>46</v>
      </c>
      <c r="AB33" s="5"/>
      <c r="AC33" s="3" t="str">
        <f>D9</f>
        <v>A (1/2 inch)</v>
      </c>
      <c r="AD33" s="2"/>
      <c r="AE33" s="2" t="str">
        <f>IF(AC33="A (1/2 inch)","A",IF(AC33="B (3/4 inch)","B",IF(AC33="C (1 inch)","C","D")))</f>
        <v>A</v>
      </c>
      <c r="AF33" s="2"/>
      <c r="AI33" s="18">
        <v>9101</v>
      </c>
      <c r="AJ33" s="19">
        <v>11</v>
      </c>
      <c r="AK33" s="20"/>
      <c r="AN33" s="18">
        <v>89</v>
      </c>
      <c r="AO33" s="19">
        <v>0.7</v>
      </c>
      <c r="AP33" s="19">
        <v>0.7</v>
      </c>
      <c r="AQ33" s="19"/>
      <c r="AR33" s="19">
        <v>90</v>
      </c>
      <c r="AS33" s="19">
        <v>0.7</v>
      </c>
      <c r="AT33" s="19">
        <v>0.7</v>
      </c>
      <c r="AU33" s="20"/>
      <c r="AW33" s="31">
        <f>B27</f>
        <v>3</v>
      </c>
      <c r="AX33" s="19" t="str">
        <f t="shared" si="55"/>
        <v>Contr. QC</v>
      </c>
      <c r="AY33" s="19">
        <f t="shared" si="56"/>
        <v>3.1</v>
      </c>
      <c r="AZ33" s="19" t="str">
        <f>N27</f>
        <v/>
      </c>
      <c r="BA33" s="19"/>
      <c r="BB33" s="19" t="str">
        <f>IF(ISNUMBER(BA35),"Yes","No")</f>
        <v>No</v>
      </c>
      <c r="BC33" t="str">
        <f>IF(BB33="Yes",IF(ABS((AZ33-BA35))&lt;=0.03,AZ33,BA35),"")</f>
        <v/>
      </c>
      <c r="BD33" t="str">
        <f>IF(BB33="Yes",IF(ABS((AZ33-BA35))&lt;=0.03,"Contractor","Agency"),"")</f>
        <v/>
      </c>
      <c r="BE33" s="19" t="str">
        <f>IF(BD33="Contractor",BC33,"")</f>
        <v/>
      </c>
      <c r="BF33" s="19" t="str">
        <f>IF(BD33="Contractor",BA35,"")</f>
        <v/>
      </c>
      <c r="BG33" s="19" t="str">
        <f>IF(AND($BG$84="Use Agency Cores",ISNUMBER(BA35)),BA35,IF(BD33="Agency",BC33,AZ33))</f>
        <v/>
      </c>
      <c r="BH33" s="19"/>
      <c r="BI33" s="32"/>
      <c r="BL33" s="31"/>
      <c r="BM33" s="19"/>
      <c r="BN33" s="19"/>
      <c r="BO33" s="19"/>
      <c r="BP33" s="19"/>
      <c r="BQ33" s="19"/>
      <c r="BR33" s="19"/>
      <c r="BS33" s="19"/>
      <c r="BT33" s="19"/>
      <c r="BU33" s="19"/>
      <c r="BV33" s="19" t="s">
        <v>209</v>
      </c>
      <c r="BW33" s="19" t="s">
        <v>212</v>
      </c>
      <c r="BX33" s="41" t="s">
        <v>280</v>
      </c>
      <c r="BY33" s="41" t="s">
        <v>315</v>
      </c>
      <c r="BZ33" s="19"/>
      <c r="CA33" s="19"/>
      <c r="CB33" s="32"/>
      <c r="CI33" s="31"/>
      <c r="CJ33" s="19" t="str">
        <f t="shared" si="43"/>
        <v>4.1C</v>
      </c>
      <c r="CK33" s="19" t="str">
        <f t="shared" si="44"/>
        <v/>
      </c>
      <c r="CL33" s="144" t="str">
        <f t="shared" si="45"/>
        <v/>
      </c>
      <c r="CM33" s="19" t="str">
        <f t="shared" si="46"/>
        <v/>
      </c>
      <c r="CN33" s="145" t="str">
        <f t="shared" si="47"/>
        <v/>
      </c>
      <c r="CO33" s="19" t="str">
        <f t="shared" si="48"/>
        <v/>
      </c>
      <c r="CP33" s="144" t="str">
        <f t="shared" si="49"/>
        <v/>
      </c>
      <c r="CQ33" s="19"/>
      <c r="CR33" s="19"/>
      <c r="CS33" s="19"/>
      <c r="CT33" s="19"/>
      <c r="CU33" s="19" t="s">
        <v>319</v>
      </c>
      <c r="CV33" s="32" t="e">
        <f>AVERAGE(CV31:CV32)</f>
        <v>#DIV/0!</v>
      </c>
      <c r="CX33" s="31" t="s">
        <v>397</v>
      </c>
      <c r="CY33" s="19"/>
      <c r="CZ33" s="19" t="e">
        <f>(CZ24*CZ26*CZ29)/2000</f>
        <v>#VALUE!</v>
      </c>
      <c r="DA33" s="31"/>
      <c r="DB33" s="19"/>
      <c r="DC33" s="19"/>
      <c r="DD33" s="19"/>
      <c r="DE33" s="19"/>
      <c r="DF33" s="19"/>
      <c r="DG33" s="19"/>
      <c r="DH33" s="19"/>
      <c r="DI33" s="19"/>
      <c r="DJ33" s="19"/>
      <c r="DK33" s="19"/>
      <c r="DL33" s="19"/>
      <c r="DM33" s="32"/>
      <c r="DO33" s="31"/>
      <c r="DP33" s="19" t="str">
        <f t="shared" si="50"/>
        <v>4.1C</v>
      </c>
      <c r="DQ33" s="264" t="str">
        <f t="shared" si="52"/>
        <v/>
      </c>
      <c r="DR33" s="19" t="str">
        <f t="shared" si="54"/>
        <v/>
      </c>
      <c r="DS33" s="19"/>
      <c r="DT33" s="19"/>
      <c r="DU33" s="19"/>
      <c r="DV33" s="32"/>
      <c r="DX33" s="31"/>
      <c r="DY33" s="19"/>
      <c r="DZ33" s="19"/>
      <c r="EA33" s="19"/>
      <c r="EB33" s="19"/>
      <c r="EC33" s="19"/>
      <c r="ED33" s="19"/>
      <c r="EE33" s="19"/>
      <c r="EF33" s="19"/>
      <c r="EG33" s="41" t="s">
        <v>441</v>
      </c>
      <c r="EH33" s="41" t="s">
        <v>441</v>
      </c>
      <c r="EI33" s="41" t="s">
        <v>441</v>
      </c>
      <c r="EJ33" s="41" t="s">
        <v>441</v>
      </c>
      <c r="EK33" s="19"/>
      <c r="EL33" s="19"/>
      <c r="EM33" s="32"/>
    </row>
    <row r="34" spans="1:143" ht="15.75" thickBot="1" x14ac:dyDescent="0.3">
      <c r="A34" s="116"/>
      <c r="B34" s="130"/>
      <c r="C34" s="131" t="str">
        <f>IF(ISNUMBER(B31),"Agency QA","")</f>
        <v>Agency QA</v>
      </c>
      <c r="D34" s="131" t="str">
        <f>IF(ISNUMBER(B31),CONCATENATE(B31+0.2,"C"),"")</f>
        <v>4.2C</v>
      </c>
      <c r="E34" s="218"/>
      <c r="F34" s="219"/>
      <c r="G34" s="242"/>
      <c r="H34" s="219"/>
      <c r="I34" s="219"/>
      <c r="J34" s="219"/>
      <c r="K34" s="219"/>
      <c r="L34" s="149" t="str">
        <f>IF(ISNUMBER(B31),IF(H34="","",(H34-I34)),"")</f>
        <v/>
      </c>
      <c r="M34" s="149" t="str">
        <f t="shared" si="40"/>
        <v/>
      </c>
      <c r="N34" s="150" t="str">
        <f t="shared" si="41"/>
        <v/>
      </c>
      <c r="O34" s="149" t="str">
        <f t="shared" si="42"/>
        <v/>
      </c>
      <c r="P34" s="158" t="str">
        <f>IF(ISNUMBER(P31),CV34,"")</f>
        <v/>
      </c>
      <c r="Q34" s="132" t="str">
        <f>IF(ISNUMBER(P34),"= Avg. Gmb","")</f>
        <v/>
      </c>
      <c r="R34" s="162"/>
      <c r="S34" s="282"/>
      <c r="T34" s="286"/>
      <c r="U34" s="287"/>
      <c r="V34" s="252"/>
      <c r="AA34" s="2" t="s">
        <v>47</v>
      </c>
      <c r="AB34" s="2"/>
      <c r="AC34" s="3"/>
      <c r="AD34" s="2"/>
      <c r="AE34" s="2"/>
      <c r="AF34" s="2"/>
      <c r="AI34" s="18">
        <v>10001</v>
      </c>
      <c r="AJ34" s="19">
        <v>12</v>
      </c>
      <c r="AK34" s="20"/>
      <c r="AN34" s="18">
        <v>89.5</v>
      </c>
      <c r="AO34" s="19">
        <v>0.85</v>
      </c>
      <c r="AP34" s="19">
        <v>0.85</v>
      </c>
      <c r="AQ34" s="19"/>
      <c r="AR34" s="19">
        <v>90.5</v>
      </c>
      <c r="AS34" s="19">
        <v>0.85</v>
      </c>
      <c r="AT34" s="19">
        <v>0.85</v>
      </c>
      <c r="AU34" s="20"/>
      <c r="AW34" s="31"/>
      <c r="AX34" s="19" t="str">
        <f t="shared" si="55"/>
        <v>Contr. QC</v>
      </c>
      <c r="AY34" s="19">
        <f t="shared" si="56"/>
        <v>3.2</v>
      </c>
      <c r="AZ34" s="19" t="str">
        <f>N28</f>
        <v/>
      </c>
      <c r="BA34" s="19"/>
      <c r="BB34" s="19" t="str">
        <f>IF(ISNUMBER(BA36),"Yes","No")</f>
        <v>No</v>
      </c>
      <c r="BC34" t="str">
        <f>IF(BB34="Yes",IF(ABS((AZ34-BA36))&lt;=0.03,AZ34,BA36),"")</f>
        <v/>
      </c>
      <c r="BD34" t="str">
        <f>IF(BB34="Yes",IF(ABS((AZ34-BA36))&lt;=0.03,"Contractor","Agency"),"")</f>
        <v/>
      </c>
      <c r="BE34" s="19" t="str">
        <f>IF(BD34="Contractor",BC34,"")</f>
        <v/>
      </c>
      <c r="BF34" s="19" t="str">
        <f>IF(BD34="Contractor",BA36,"")</f>
        <v/>
      </c>
      <c r="BG34" s="19" t="str">
        <f>IF(AND($BG$84="Use Agency Cores",ISNUMBER(BA36)),BA36,IF(BD34="Agency",BC34,AZ34))</f>
        <v/>
      </c>
      <c r="BH34" s="19"/>
      <c r="BI34" s="32"/>
      <c r="BL34" s="45"/>
      <c r="BM34" s="23" t="s">
        <v>196</v>
      </c>
      <c r="BN34" s="23" t="s">
        <v>109</v>
      </c>
      <c r="BO34" s="23"/>
      <c r="BP34" s="19" t="s">
        <v>121</v>
      </c>
      <c r="BQ34" s="19" t="s">
        <v>124</v>
      </c>
      <c r="BR34" s="19" t="s">
        <v>125</v>
      </c>
      <c r="BS34" s="19" t="s">
        <v>126</v>
      </c>
      <c r="BT34" s="19"/>
      <c r="BU34" s="19" t="s">
        <v>191</v>
      </c>
      <c r="BV34" s="19" t="s">
        <v>86</v>
      </c>
      <c r="BW34" s="19" t="s">
        <v>191</v>
      </c>
      <c r="BX34" s="41" t="s">
        <v>281</v>
      </c>
      <c r="BY34" s="41" t="s">
        <v>316</v>
      </c>
      <c r="BZ34" s="19"/>
      <c r="CA34" s="19"/>
      <c r="CB34" s="32"/>
      <c r="CI34" s="31"/>
      <c r="CJ34" s="19" t="str">
        <f t="shared" si="43"/>
        <v>4.2C</v>
      </c>
      <c r="CK34" s="19" t="str">
        <f t="shared" si="44"/>
        <v/>
      </c>
      <c r="CL34" s="144" t="str">
        <f t="shared" si="45"/>
        <v/>
      </c>
      <c r="CM34" s="19" t="str">
        <f t="shared" si="46"/>
        <v/>
      </c>
      <c r="CN34" s="145" t="str">
        <f t="shared" si="47"/>
        <v/>
      </c>
      <c r="CO34" s="19" t="str">
        <f t="shared" si="48"/>
        <v/>
      </c>
      <c r="CP34" s="144" t="str">
        <f t="shared" si="49"/>
        <v/>
      </c>
      <c r="CQ34" s="19"/>
      <c r="CR34" s="19"/>
      <c r="CS34" s="173" t="str">
        <f>CONCATENATE("Lot ",B31)</f>
        <v>Lot 4</v>
      </c>
      <c r="CT34" s="19" t="s">
        <v>320</v>
      </c>
      <c r="CU34" s="19"/>
      <c r="CV34" s="32" t="e">
        <f>IF(ROUND((CV33*1000),0)-(CV33*1000)=0.5,IF(EVEN((CV33*1000))-(CV33*1000)=1.5,(EVEN((CV33*1000))-2)/1000,EVEN((CV33*1000))/1000),ROUND(CV33,3))</f>
        <v>#DIV/0!</v>
      </c>
      <c r="CX34" s="31"/>
      <c r="CY34" s="19"/>
      <c r="CZ34" s="19"/>
      <c r="DA34" s="31"/>
      <c r="DB34" s="19"/>
      <c r="DC34" s="19"/>
      <c r="DD34" s="19"/>
      <c r="DE34" s="19"/>
      <c r="DF34" s="19"/>
      <c r="DG34" s="19"/>
      <c r="DH34" s="19"/>
      <c r="DI34" s="19"/>
      <c r="DJ34" s="19"/>
      <c r="DK34" s="19"/>
      <c r="DL34" s="19"/>
      <c r="DM34" s="32"/>
      <c r="DO34" s="31"/>
      <c r="DP34" s="19" t="str">
        <f t="shared" si="50"/>
        <v>4.2C</v>
      </c>
      <c r="DQ34" s="264" t="str">
        <f t="shared" si="52"/>
        <v/>
      </c>
      <c r="DR34" s="19" t="str">
        <f t="shared" si="54"/>
        <v/>
      </c>
      <c r="DS34" s="19"/>
      <c r="DT34" s="19"/>
      <c r="DU34" s="19"/>
      <c r="DV34" s="32"/>
      <c r="DX34" s="31"/>
      <c r="DY34" s="19"/>
      <c r="DZ34" s="19"/>
      <c r="EA34" s="19"/>
      <c r="EB34" s="19"/>
      <c r="EC34" s="19"/>
      <c r="ED34" s="19"/>
      <c r="EE34" s="19"/>
      <c r="EF34" s="19"/>
      <c r="EG34" s="19"/>
      <c r="EH34" s="19"/>
      <c r="EI34" s="19"/>
      <c r="EJ34" s="19"/>
      <c r="EK34" s="19"/>
      <c r="EL34" s="19"/>
      <c r="EM34" s="32"/>
    </row>
    <row r="35" spans="1:143" ht="15.75" thickTop="1" x14ac:dyDescent="0.25">
      <c r="A35" s="116"/>
      <c r="B35" s="128">
        <f>IF($AK$43&gt;4,B31+1,"")</f>
        <v>5</v>
      </c>
      <c r="C35" s="129" t="str">
        <f>IF(ISNUMBER(B35),"Contr. QC","")</f>
        <v>Contr. QC</v>
      </c>
      <c r="D35" s="129">
        <f>IF(ISNUMBER(B35),B35+0.1,"")</f>
        <v>5.0999999999999996</v>
      </c>
      <c r="E35" s="216"/>
      <c r="F35" s="217"/>
      <c r="G35" s="239"/>
      <c r="H35" s="217"/>
      <c r="I35" s="217"/>
      <c r="J35" s="217"/>
      <c r="K35" s="217"/>
      <c r="L35" s="152">
        <f>IF(ISNUMBER(B35),(H35-I35),"")</f>
        <v>0</v>
      </c>
      <c r="M35" s="152" t="str">
        <f t="shared" si="40"/>
        <v/>
      </c>
      <c r="N35" s="153" t="str">
        <f t="shared" si="41"/>
        <v/>
      </c>
      <c r="O35" s="152" t="str">
        <f t="shared" si="42"/>
        <v/>
      </c>
      <c r="P35" s="153" t="str">
        <f>IF(BG41&gt;0,BG41,"")</f>
        <v/>
      </c>
      <c r="Q35" s="146" t="str">
        <f>CR35</f>
        <v/>
      </c>
      <c r="R35" s="161" t="str">
        <f>CC20</f>
        <v/>
      </c>
      <c r="S35" s="161" t="str">
        <f>IF(ISERR(CG20),"",CG20)</f>
        <v/>
      </c>
      <c r="T35" s="151" t="e">
        <f>DE35</f>
        <v>#VALUE!</v>
      </c>
      <c r="U35" s="284" t="str">
        <f>IF(R35="Rem/Repl","Rem/Replace",DL35)</f>
        <v/>
      </c>
      <c r="V35" s="285"/>
      <c r="AA35" s="2" t="s">
        <v>48</v>
      </c>
      <c r="AB35" s="2"/>
      <c r="AC35" s="3"/>
      <c r="AD35" s="2"/>
      <c r="AE35" s="2"/>
      <c r="AF35" s="2"/>
      <c r="AI35" s="18">
        <v>10901</v>
      </c>
      <c r="AJ35" s="19">
        <v>13</v>
      </c>
      <c r="AK35" s="20"/>
      <c r="AN35" s="18">
        <v>90</v>
      </c>
      <c r="AO35" s="19">
        <v>0.91</v>
      </c>
      <c r="AP35" s="19">
        <v>0.91</v>
      </c>
      <c r="AQ35" s="19"/>
      <c r="AR35" s="19">
        <v>91</v>
      </c>
      <c r="AS35" s="19">
        <v>0.91</v>
      </c>
      <c r="AT35" s="19">
        <v>0.91</v>
      </c>
      <c r="AU35" s="20"/>
      <c r="AW35" s="31"/>
      <c r="AX35" s="19" t="str">
        <f t="shared" si="55"/>
        <v>Agency QA</v>
      </c>
      <c r="AY35" s="19" t="str">
        <f t="shared" si="56"/>
        <v>3.1C</v>
      </c>
      <c r="AZ35" s="19"/>
      <c r="BA35" s="19" t="str">
        <f>N29</f>
        <v/>
      </c>
      <c r="BB35" s="19"/>
      <c r="BD35" s="19"/>
      <c r="BE35" s="19"/>
      <c r="BF35" s="19"/>
      <c r="BG35" s="19"/>
      <c r="BH35" s="19"/>
      <c r="BI35" s="32"/>
      <c r="BL35" s="45"/>
      <c r="BM35" s="23" t="s">
        <v>191</v>
      </c>
      <c r="BN35" s="23" t="s">
        <v>198</v>
      </c>
      <c r="BO35" s="23"/>
      <c r="BP35" s="19" t="s">
        <v>85</v>
      </c>
      <c r="BQ35" s="19" t="s">
        <v>85</v>
      </c>
      <c r="BR35" s="19" t="s">
        <v>85</v>
      </c>
      <c r="BS35" s="19" t="s">
        <v>85</v>
      </c>
      <c r="BT35" s="19"/>
      <c r="BU35" s="19" t="s">
        <v>85</v>
      </c>
      <c r="BV35" s="19" t="s">
        <v>210</v>
      </c>
      <c r="BW35" s="19" t="s">
        <v>85</v>
      </c>
      <c r="BX35" s="19"/>
      <c r="BY35" s="19"/>
      <c r="BZ35" s="19"/>
      <c r="CA35" s="19"/>
      <c r="CB35" s="32"/>
      <c r="CI35" s="31"/>
      <c r="CJ35" s="19">
        <f t="shared" si="43"/>
        <v>5.0999999999999996</v>
      </c>
      <c r="CK35" s="19" t="str">
        <f t="shared" si="44"/>
        <v/>
      </c>
      <c r="CL35" s="144" t="str">
        <f t="shared" si="45"/>
        <v/>
      </c>
      <c r="CM35" s="19" t="str">
        <f t="shared" si="46"/>
        <v/>
      </c>
      <c r="CN35" s="145" t="str">
        <f t="shared" si="47"/>
        <v/>
      </c>
      <c r="CO35" s="19" t="str">
        <f t="shared" si="48"/>
        <v/>
      </c>
      <c r="CP35" s="144" t="str">
        <f t="shared" si="49"/>
        <v/>
      </c>
      <c r="CQ35" s="19" t="str">
        <f>IF(ISNUMBER(P38),(P38/$H$14)*100,"")</f>
        <v/>
      </c>
      <c r="CR35" s="144" t="str">
        <f>IF(ISNUMBER(CQ35),IF(ROUND((CQ35*10),0)-(CQ35*10)=0.5,IF(EVEN((CQ35*10))-(CQ35*10)=1.5,(EVEN((CQ35*10))-2)/10,EVEN((CQ35*10))/10),ROUND(CQ35,1)),"")</f>
        <v/>
      </c>
      <c r="CS35" s="19"/>
      <c r="CT35" s="19" t="str">
        <f>CONCATENATE("Lot ",CJ35," Gmb used:")</f>
        <v>Lot 5.1 Gmb used:</v>
      </c>
      <c r="CU35" s="19"/>
      <c r="CV35" s="32" t="str">
        <f>P35</f>
        <v/>
      </c>
      <c r="CX35" s="31"/>
      <c r="CY35" s="19"/>
      <c r="CZ35" s="19"/>
      <c r="DA35" s="31"/>
      <c r="DB35" s="168">
        <f>B35</f>
        <v>5</v>
      </c>
      <c r="DC35" s="168" t="e">
        <f>IF(ISNUMBER(DB35),$AK$18,"")</f>
        <v>#VALUE!</v>
      </c>
      <c r="DD35" s="168" t="str">
        <f>IF(ISNUMBER(DB35),IF($DE$10="Sq Yd inch",$P$3/$DE$11,""),"")</f>
        <v/>
      </c>
      <c r="DE35" s="168" t="e">
        <f>IF($DE$10="Tons",DC35,DD35)</f>
        <v>#VALUE!</v>
      </c>
      <c r="DF35" s="203" t="str">
        <f>R35</f>
        <v/>
      </c>
      <c r="DG35" s="203" t="str">
        <f>S35</f>
        <v/>
      </c>
      <c r="DH35" s="168" t="str">
        <f>IF(ISNUMBER(DC35),IF(ISNUMBER(DG35),(DG35-1)*DC35*$DE$12,(DF35-1)*DC35*$DE$12),"")</f>
        <v/>
      </c>
      <c r="DI35" s="205" t="str">
        <f>IF(ISNUMBER(DH35),IF(ROUND((DH35*100),0)-(DH35*100)=0.5,IF(EVEN((DH35*100))-(DH35*100)=1.5,(EVEN((DH35*100))-2)/100,EVEN((DH35*100))/100),ROUND(DH35,2)),"")</f>
        <v/>
      </c>
      <c r="DJ35" s="168" t="str">
        <f>IF(ISNUMBER(DD35),IF(ISNUMBER(DG35),(DG35-1)*DE35*$DE$12,(DF35-1)*DE35*$DE$12),"")</f>
        <v/>
      </c>
      <c r="DK35" s="205" t="str">
        <f>IF(ISNUMBER(DJ35),IF(ROUND((DJ35*100),0)-(DJ35*100)=0.5,IF(EVEN((DJ35*100))-(DJ35*100)=1.5,(EVEN((DJ35*100))-2)/100,EVEN((DJ35*100))/100),ROUND(DJ35,2)),"")</f>
        <v/>
      </c>
      <c r="DL35" s="168" t="str">
        <f>IF($DE$10="Tons",DI35,DK35)</f>
        <v/>
      </c>
      <c r="DM35" s="182"/>
      <c r="DO35" s="31"/>
      <c r="DP35" s="19">
        <f t="shared" si="50"/>
        <v>5.0999999999999996</v>
      </c>
      <c r="DQ35" s="264" t="str">
        <f t="shared" si="52"/>
        <v/>
      </c>
      <c r="DR35" s="19" t="str">
        <f t="shared" si="54"/>
        <v/>
      </c>
      <c r="DS35" s="19">
        <f>IF(OR(DR35="Yes",DR36="Yes",DR37="Yes",DR38="Yes"),"Engr Decision",0.7)</f>
        <v>0.7</v>
      </c>
      <c r="DT35" s="19">
        <f>V35</f>
        <v>0</v>
      </c>
      <c r="DU35" s="19">
        <f>IF(DS35="Engr Decision",IF(DT35="Yes",0.5,"Rem/Repl"),DS35)</f>
        <v>0.7</v>
      </c>
      <c r="DV35" s="32"/>
      <c r="DX35" s="31"/>
      <c r="DY35" s="19"/>
      <c r="DZ35" s="19"/>
      <c r="EA35" s="19"/>
      <c r="EB35" s="19"/>
      <c r="EC35" s="19"/>
      <c r="ED35" s="19"/>
      <c r="EE35" s="19"/>
      <c r="EF35" s="19"/>
      <c r="EG35" s="19"/>
      <c r="EH35" s="19"/>
      <c r="EI35" s="19"/>
      <c r="EJ35" s="19"/>
      <c r="EK35" s="19"/>
      <c r="EL35" s="19"/>
      <c r="EM35" s="32"/>
    </row>
    <row r="36" spans="1:143" x14ac:dyDescent="0.25">
      <c r="A36" s="116"/>
      <c r="B36" s="130"/>
      <c r="C36" s="131" t="str">
        <f>IF(ISNUMBER(B35),"Contr. QC","")</f>
        <v>Contr. QC</v>
      </c>
      <c r="D36" s="131">
        <f>IF(ISNUMBER(B35),B35+0.2,"")</f>
        <v>5.2</v>
      </c>
      <c r="E36" s="218"/>
      <c r="F36" s="219"/>
      <c r="G36" s="240"/>
      <c r="H36" s="219"/>
      <c r="I36" s="219"/>
      <c r="J36" s="219"/>
      <c r="K36" s="219"/>
      <c r="L36" s="149">
        <f>IF(ISNUMBER(B35),(H36-I36),"")</f>
        <v>0</v>
      </c>
      <c r="M36" s="149" t="str">
        <f t="shared" si="40"/>
        <v/>
      </c>
      <c r="N36" s="150" t="str">
        <f t="shared" si="41"/>
        <v/>
      </c>
      <c r="O36" s="149" t="str">
        <f t="shared" si="42"/>
        <v/>
      </c>
      <c r="P36" s="158" t="str">
        <f>IF(BG42&gt;0,BG42,"")</f>
        <v/>
      </c>
      <c r="Q36" s="131"/>
      <c r="R36" s="162"/>
      <c r="S36" s="162"/>
      <c r="T36" s="131"/>
      <c r="U36" s="250"/>
      <c r="V36" s="116"/>
      <c r="AA36" s="2" t="s">
        <v>49</v>
      </c>
      <c r="AB36" s="2"/>
      <c r="AC36" s="3"/>
      <c r="AD36" s="2"/>
      <c r="AE36" s="2"/>
      <c r="AF36" s="2"/>
      <c r="AI36" s="18">
        <v>11801</v>
      </c>
      <c r="AJ36" s="19">
        <v>14</v>
      </c>
      <c r="AK36" s="20"/>
      <c r="AN36" s="18">
        <v>90.5</v>
      </c>
      <c r="AO36" s="19">
        <v>0.95</v>
      </c>
      <c r="AP36" s="19">
        <v>0.95</v>
      </c>
      <c r="AQ36" s="19"/>
      <c r="AR36" s="19">
        <v>91.5</v>
      </c>
      <c r="AS36" s="19">
        <v>0.95</v>
      </c>
      <c r="AT36" s="19">
        <v>0.95</v>
      </c>
      <c r="AU36" s="20"/>
      <c r="AW36" s="31"/>
      <c r="AX36" s="19" t="str">
        <f t="shared" si="55"/>
        <v>Agency QA</v>
      </c>
      <c r="AY36" s="19" t="str">
        <f t="shared" si="56"/>
        <v>3.2C</v>
      </c>
      <c r="AZ36" s="19"/>
      <c r="BA36" s="19" t="str">
        <f>N30</f>
        <v/>
      </c>
      <c r="BB36" s="19"/>
      <c r="BD36" s="19"/>
      <c r="BE36" s="19"/>
      <c r="BF36" s="19"/>
      <c r="BG36" s="19"/>
      <c r="BH36" s="19"/>
      <c r="BI36" s="32"/>
      <c r="BL36" s="45" t="s">
        <v>68</v>
      </c>
      <c r="BM36" s="23" t="s">
        <v>197</v>
      </c>
      <c r="BN36" s="23" t="s">
        <v>199</v>
      </c>
      <c r="BO36" s="23" t="s">
        <v>82</v>
      </c>
      <c r="BP36" s="19" t="s">
        <v>86</v>
      </c>
      <c r="BQ36" s="19" t="s">
        <v>86</v>
      </c>
      <c r="BR36" s="19" t="s">
        <v>86</v>
      </c>
      <c r="BS36" s="19" t="s">
        <v>86</v>
      </c>
      <c r="BT36" s="19"/>
      <c r="BU36" s="19" t="s">
        <v>86</v>
      </c>
      <c r="BV36" s="19" t="s">
        <v>211</v>
      </c>
      <c r="BW36" s="19" t="s">
        <v>86</v>
      </c>
      <c r="BX36" s="19"/>
      <c r="BY36" s="19"/>
      <c r="BZ36" s="19"/>
      <c r="CA36" s="19"/>
      <c r="CB36" s="32"/>
      <c r="CI36" s="31"/>
      <c r="CJ36" s="19">
        <f t="shared" si="43"/>
        <v>5.2</v>
      </c>
      <c r="CK36" s="19" t="str">
        <f t="shared" si="44"/>
        <v/>
      </c>
      <c r="CL36" s="144" t="str">
        <f t="shared" si="45"/>
        <v/>
      </c>
      <c r="CM36" s="19" t="str">
        <f t="shared" si="46"/>
        <v/>
      </c>
      <c r="CN36" s="145" t="str">
        <f t="shared" si="47"/>
        <v/>
      </c>
      <c r="CO36" s="19" t="str">
        <f t="shared" si="48"/>
        <v/>
      </c>
      <c r="CP36" s="144" t="str">
        <f t="shared" si="49"/>
        <v/>
      </c>
      <c r="CQ36" s="19"/>
      <c r="CR36" s="19"/>
      <c r="CS36" s="19"/>
      <c r="CT36" s="19" t="str">
        <f>CONCATENATE("Lot ",CJ36," Gmb used:")</f>
        <v>Lot 5.2 Gmb used:</v>
      </c>
      <c r="CU36" s="19"/>
      <c r="CV36" s="32" t="str">
        <f>P36</f>
        <v/>
      </c>
      <c r="CX36" s="31" t="s">
        <v>393</v>
      </c>
      <c r="CY36" s="19"/>
      <c r="CZ36" s="19"/>
      <c r="DA36" s="31">
        <v>5</v>
      </c>
      <c r="DB36" s="19"/>
      <c r="DC36" s="19"/>
      <c r="DD36" s="19"/>
      <c r="DE36" s="19"/>
      <c r="DF36" s="19"/>
      <c r="DG36" s="19"/>
      <c r="DH36" s="19"/>
      <c r="DI36" s="19"/>
      <c r="DJ36" s="19"/>
      <c r="DK36" s="19"/>
      <c r="DL36" s="19"/>
      <c r="DM36" s="32"/>
      <c r="DO36" s="31"/>
      <c r="DP36" s="19">
        <f t="shared" si="50"/>
        <v>5.2</v>
      </c>
      <c r="DQ36" s="264" t="str">
        <f t="shared" si="52"/>
        <v/>
      </c>
      <c r="DR36" s="19" t="str">
        <f t="shared" si="54"/>
        <v/>
      </c>
      <c r="DS36" s="19"/>
      <c r="DT36" s="19"/>
      <c r="DU36" s="19"/>
      <c r="DV36" s="32"/>
      <c r="DX36" s="31"/>
      <c r="DY36" s="19"/>
      <c r="DZ36" s="19"/>
      <c r="EA36" s="19"/>
      <c r="EB36" s="19"/>
      <c r="EC36" s="19"/>
      <c r="ED36" s="19"/>
      <c r="EE36" s="19"/>
      <c r="EF36" s="19"/>
      <c r="EG36" s="19"/>
      <c r="EH36" s="19"/>
      <c r="EI36" s="19"/>
      <c r="EJ36" s="19"/>
      <c r="EK36" s="19"/>
      <c r="EL36" s="19"/>
      <c r="EM36" s="32"/>
    </row>
    <row r="37" spans="1:143" x14ac:dyDescent="0.25">
      <c r="A37" s="116"/>
      <c r="B37" s="130"/>
      <c r="C37" s="131" t="str">
        <f>IF(ISNUMBER(B35),"Agency QA","")</f>
        <v>Agency QA</v>
      </c>
      <c r="D37" s="131" t="str">
        <f>IF(ISNUMBER(B35),CONCATENATE(B35+0.1,"C"),"")</f>
        <v>5.1C</v>
      </c>
      <c r="E37" s="218"/>
      <c r="F37" s="219"/>
      <c r="G37" s="240"/>
      <c r="H37" s="219"/>
      <c r="I37" s="219"/>
      <c r="J37" s="219"/>
      <c r="K37" s="219"/>
      <c r="L37" s="149" t="str">
        <f>IF(ISNUMBER(B35),IF(H37="","",(H37-I37)),"")</f>
        <v/>
      </c>
      <c r="M37" s="149" t="str">
        <f t="shared" si="40"/>
        <v/>
      </c>
      <c r="N37" s="150" t="str">
        <f t="shared" si="41"/>
        <v/>
      </c>
      <c r="O37" s="149" t="str">
        <f t="shared" si="42"/>
        <v/>
      </c>
      <c r="P37" s="158"/>
      <c r="Q37" s="131" t="str">
        <f>IF(ISNUMBER(B35),IF(OR(BD41="Agency",BD42="Agency",$BG$84="Use Agency Cores"),"Agency Core(s) Used",""),"")</f>
        <v/>
      </c>
      <c r="R37" s="162"/>
      <c r="S37" s="162"/>
      <c r="T37" s="131"/>
      <c r="U37" s="250"/>
      <c r="V37" s="116"/>
      <c r="AA37" s="5"/>
      <c r="AB37" s="2"/>
      <c r="AC37" s="3"/>
      <c r="AD37" s="2"/>
      <c r="AE37" s="2"/>
      <c r="AF37" s="2"/>
      <c r="AI37" s="18">
        <v>12701</v>
      </c>
      <c r="AJ37" s="19">
        <v>15</v>
      </c>
      <c r="AK37" s="20"/>
      <c r="AN37" s="18">
        <v>91</v>
      </c>
      <c r="AO37" s="19">
        <v>0.98</v>
      </c>
      <c r="AP37" s="19">
        <v>0.98</v>
      </c>
      <c r="AQ37" s="19"/>
      <c r="AR37" s="19">
        <v>92</v>
      </c>
      <c r="AS37" s="19">
        <v>0.98</v>
      </c>
      <c r="AT37" s="19">
        <v>0.98</v>
      </c>
      <c r="AU37" s="20"/>
      <c r="AW37" s="31">
        <f>B31</f>
        <v>4</v>
      </c>
      <c r="AX37" s="19" t="str">
        <f t="shared" si="55"/>
        <v>Contr. QC</v>
      </c>
      <c r="AY37" s="19">
        <f t="shared" si="56"/>
        <v>4.0999999999999996</v>
      </c>
      <c r="AZ37" s="19" t="str">
        <f>N31</f>
        <v/>
      </c>
      <c r="BA37" s="19"/>
      <c r="BB37" s="19" t="str">
        <f>IF(ISNUMBER(BA39),"Yes","No")</f>
        <v>No</v>
      </c>
      <c r="BC37" t="str">
        <f>IF(BB37="Yes",IF(ABS((AZ37-BA39))&lt;=0.03,AZ37,BA39),"")</f>
        <v/>
      </c>
      <c r="BD37" t="str">
        <f>IF(BB37="Yes",IF(ABS((AZ37-BA39))&lt;=0.03,"Contractor","Agency"),"")</f>
        <v/>
      </c>
      <c r="BE37" s="19" t="str">
        <f>IF(BD37="Contractor",BC37,"")</f>
        <v/>
      </c>
      <c r="BF37" s="19" t="str">
        <f>IF(BD37="Contractor",BA39,"")</f>
        <v/>
      </c>
      <c r="BG37" s="19" t="str">
        <f>IF(AND($BG$84="Use Agency Cores",ISNUMBER(BA39)),BA39,IF(BD37="Agency",BC37,AZ37))</f>
        <v/>
      </c>
      <c r="BH37" s="19"/>
      <c r="BI37" s="32"/>
      <c r="BL37" s="31" t="str">
        <f>D63</f>
        <v/>
      </c>
      <c r="BM37" s="19" t="str">
        <f>E63</f>
        <v>No Core</v>
      </c>
      <c r="BN37" s="19" t="str">
        <f>IF(AND($BM$30=40,$BM37="Confined"),"Table E",IF(AND($BM$30=40,$BM37="Unconfined"),"Table F",IF(AND($BM$30=30,$BM37="Confined"),"Table G",IF(AND($BM$30=30,$BM37="Unconfined"),"Table H","No Core"))))</f>
        <v>No Core</v>
      </c>
      <c r="BO37" s="19" t="str">
        <f>R63</f>
        <v/>
      </c>
      <c r="BP37" s="19" t="e">
        <f>IF($BM$32="Traffic 2/3",VLOOKUP($BO37,$AN$70:$AP$76,2),VLOOKUP($BO37,$AN$70:$AP$76,3))</f>
        <v>#N/A</v>
      </c>
      <c r="BQ37" s="19" t="e">
        <f>IF($BM$12="Traffic 2/3",VLOOKUP($BO37,$AR$70:$AT$76,2),VLOOKUP($BO37,$AR$70:$AT$76,3))</f>
        <v>#N/A</v>
      </c>
      <c r="BR37" s="19" t="e">
        <f>IF($BM$12="Traffic 2/3",VLOOKUP($BO37,$AN$88:$AP$94,2),VLOOKUP($BO37,$AN$88:$AP$94,3))</f>
        <v>#N/A</v>
      </c>
      <c r="BS37" s="19" t="e">
        <f>IF($BM$12="Traffic 2/3",VLOOKUP($BO37,$AR$88:$AT$94,2),VLOOKUP($BO37,$AR$88:$AT$94,3))</f>
        <v>#N/A</v>
      </c>
      <c r="BT37" s="19"/>
      <c r="BU37" s="19" t="str">
        <f>IF(ISNUMBER(BO37),IF($BN$37="Table E",BP37,IF($BN$37="Table F",BQ37,IF($BN$37="Table G",BR37,BS37))),"")</f>
        <v/>
      </c>
      <c r="BV37" s="19" t="str">
        <f>BN37</f>
        <v>No Core</v>
      </c>
      <c r="BW37" s="19" t="str">
        <f>IF(BV37="No Core","",BU37)</f>
        <v/>
      </c>
      <c r="BX37" s="19" t="str">
        <f>IF(ISNUMBER(BW37),IF($BQ$76="No",BW37,IF(BW37&gt;1,1,BW37)),"")</f>
        <v/>
      </c>
      <c r="BY37" s="19" t="str">
        <f>IF(ISNUMBER(BX37),IF($AD$76="No",BX37,1),"")</f>
        <v/>
      </c>
      <c r="BZ37" s="19"/>
      <c r="CA37" s="19"/>
      <c r="CB37" s="32"/>
      <c r="CI37" s="31"/>
      <c r="CJ37" s="19" t="str">
        <f t="shared" si="43"/>
        <v>5.1C</v>
      </c>
      <c r="CK37" s="19" t="str">
        <f t="shared" si="44"/>
        <v/>
      </c>
      <c r="CL37" s="144" t="str">
        <f t="shared" si="45"/>
        <v/>
      </c>
      <c r="CM37" s="19" t="str">
        <f t="shared" si="46"/>
        <v/>
      </c>
      <c r="CN37" s="145" t="str">
        <f t="shared" si="47"/>
        <v/>
      </c>
      <c r="CO37" s="19" t="str">
        <f t="shared" si="48"/>
        <v/>
      </c>
      <c r="CP37" s="144" t="str">
        <f t="shared" si="49"/>
        <v/>
      </c>
      <c r="CQ37" s="19"/>
      <c r="CR37" s="19"/>
      <c r="CS37" s="19"/>
      <c r="CT37" s="19"/>
      <c r="CU37" s="19" t="s">
        <v>319</v>
      </c>
      <c r="CV37" s="32" t="e">
        <f>AVERAGE(CV35:CV36)</f>
        <v>#DIV/0!</v>
      </c>
      <c r="CX37" s="31" t="s">
        <v>394</v>
      </c>
      <c r="CY37" s="19"/>
      <c r="CZ37" s="19">
        <f>IF(CZ22="Tons",P2,"Sq Yd in project")</f>
        <v>0</v>
      </c>
      <c r="DA37" s="31"/>
      <c r="DB37" s="19"/>
      <c r="DC37" s="19"/>
      <c r="DD37" s="19"/>
      <c r="DE37" s="19"/>
      <c r="DF37" s="19"/>
      <c r="DG37" s="19"/>
      <c r="DH37" s="19"/>
      <c r="DI37" s="19"/>
      <c r="DJ37" s="19"/>
      <c r="DK37" s="19"/>
      <c r="DL37" s="19"/>
      <c r="DM37" s="32"/>
      <c r="DO37" s="31"/>
      <c r="DP37" s="19" t="str">
        <f t="shared" si="50"/>
        <v>5.1C</v>
      </c>
      <c r="DQ37" s="264" t="str">
        <f t="shared" si="52"/>
        <v/>
      </c>
      <c r="DR37" s="19" t="str">
        <f t="shared" si="54"/>
        <v/>
      </c>
      <c r="DS37" s="19"/>
      <c r="DT37" s="19"/>
      <c r="DU37" s="19"/>
      <c r="DV37" s="32"/>
      <c r="DX37" s="43"/>
      <c r="DY37" s="35"/>
      <c r="DZ37" s="35"/>
      <c r="EA37" s="35"/>
      <c r="EB37" s="35"/>
      <c r="EC37" s="35"/>
      <c r="ED37" s="35"/>
      <c r="EE37" s="35"/>
      <c r="EF37" s="35"/>
      <c r="EG37" s="35"/>
      <c r="EH37" s="35"/>
      <c r="EI37" s="35"/>
      <c r="EJ37" s="35"/>
      <c r="EK37" s="35"/>
      <c r="EL37" s="35"/>
      <c r="EM37" s="36"/>
    </row>
    <row r="38" spans="1:143" ht="15.75" thickBot="1" x14ac:dyDescent="0.3">
      <c r="A38" s="116"/>
      <c r="B38" s="130"/>
      <c r="C38" s="131" t="str">
        <f>IF(ISNUMBER(B35),"Agency QA","")</f>
        <v>Agency QA</v>
      </c>
      <c r="D38" s="131" t="str">
        <f>IF(ISNUMBER(B35),CONCATENATE(B35+0.2,"C"),"")</f>
        <v>5.2C</v>
      </c>
      <c r="E38" s="218"/>
      <c r="F38" s="219"/>
      <c r="G38" s="241"/>
      <c r="H38" s="219"/>
      <c r="I38" s="219"/>
      <c r="J38" s="219"/>
      <c r="K38" s="219"/>
      <c r="L38" s="149" t="str">
        <f>IF(ISNUMBER(B35),IF(H38="","",(H38-I38)),"")</f>
        <v/>
      </c>
      <c r="M38" s="154" t="str">
        <f t="shared" si="40"/>
        <v/>
      </c>
      <c r="N38" s="155" t="str">
        <f t="shared" si="41"/>
        <v/>
      </c>
      <c r="O38" s="154" t="str">
        <f t="shared" si="42"/>
        <v/>
      </c>
      <c r="P38" s="158" t="str">
        <f>IF(ISNUMBER(P35),CV38,"")</f>
        <v/>
      </c>
      <c r="Q38" s="132" t="str">
        <f>IF(ISNUMBER(P38),"= Avg. Gmb","")</f>
        <v/>
      </c>
      <c r="R38" s="162"/>
      <c r="S38" s="282"/>
      <c r="T38" s="286"/>
      <c r="U38" s="287"/>
      <c r="V38" s="252"/>
      <c r="AA38" s="4"/>
      <c r="AB38" s="2"/>
      <c r="AC38" s="3"/>
      <c r="AD38" s="2"/>
      <c r="AE38" s="2"/>
      <c r="AF38" s="2"/>
      <c r="AI38" s="18">
        <v>13601</v>
      </c>
      <c r="AJ38" s="19">
        <v>16</v>
      </c>
      <c r="AK38" s="20"/>
      <c r="AN38" s="18">
        <v>92</v>
      </c>
      <c r="AO38" s="19">
        <v>1</v>
      </c>
      <c r="AP38" s="19">
        <v>1</v>
      </c>
      <c r="AQ38" s="19"/>
      <c r="AR38" s="19">
        <v>93</v>
      </c>
      <c r="AS38" s="19">
        <v>1</v>
      </c>
      <c r="AT38" s="19">
        <v>1</v>
      </c>
      <c r="AU38" s="20"/>
      <c r="AW38" s="31"/>
      <c r="AX38" s="19" t="str">
        <f t="shared" si="55"/>
        <v>Contr. QC</v>
      </c>
      <c r="AY38" s="19">
        <f t="shared" si="56"/>
        <v>4.2</v>
      </c>
      <c r="AZ38" s="19" t="str">
        <f>N32</f>
        <v/>
      </c>
      <c r="BA38" s="19"/>
      <c r="BB38" s="19" t="str">
        <f>IF(ISNUMBER(BA40),"Yes","No")</f>
        <v>No</v>
      </c>
      <c r="BC38" t="str">
        <f>IF(BB38="Yes",IF(ABS((AZ38-BA40))&lt;=0.03,AZ38,BA40),"")</f>
        <v/>
      </c>
      <c r="BD38" t="str">
        <f>IF(BB38="Yes",IF(ABS((AZ38-BA40))&lt;=0.03,"Contractor","Agency"),"")</f>
        <v/>
      </c>
      <c r="BE38" s="19" t="str">
        <f>IF(BD38="Contractor",BC38,"")</f>
        <v/>
      </c>
      <c r="BF38" s="19" t="str">
        <f>IF(BD38="Contractor",BA40,"")</f>
        <v/>
      </c>
      <c r="BG38" s="19" t="str">
        <f>IF(AND($BG$84="Use Agency Cores",ISNUMBER(BA40)),BA40,IF(BD38="Agency",BC38,AZ38))</f>
        <v/>
      </c>
      <c r="BH38" s="19"/>
      <c r="BI38" s="32"/>
      <c r="BL38" s="31" t="str">
        <f>D64</f>
        <v/>
      </c>
      <c r="BM38" s="19" t="str">
        <f>E64</f>
        <v>No Core</v>
      </c>
      <c r="BN38" s="19" t="str">
        <f>IF(AND($BM$30=40,$BM38="Confined"),"Table E",IF(AND($BM$30=40,$BM38="Unconfined"),"Table F",IF(AND($BM$30=30,$BM38="Confined"),"Table G",IF(AND($BM$30=30,$BM38="Unconfined"),"Table H","No Core"))))</f>
        <v>No Core</v>
      </c>
      <c r="BO38" s="19" t="str">
        <f>R64</f>
        <v/>
      </c>
      <c r="BP38" s="19" t="e">
        <f>IF($BM$32="Traffic 2/3",VLOOKUP($BO38,$AN$70:$AP$76,2),VLOOKUP($BO38,$AN$70:$AP$76,3))</f>
        <v>#N/A</v>
      </c>
      <c r="BQ38" s="19" t="e">
        <f>IF($BM$12="Traffic 2/3",VLOOKUP($BO38,$AR$70:$AT$76,2),VLOOKUP($BO38,$AR$70:$AT$76,3))</f>
        <v>#N/A</v>
      </c>
      <c r="BR38" s="19" t="e">
        <f>IF($BM$12="Traffic 2/3",VLOOKUP($BO38,$AN$88:$AP$94,2),VLOOKUP($BO38,$AN$88:$AP$94,3))</f>
        <v>#N/A</v>
      </c>
      <c r="BS38" s="19" t="e">
        <f>IF($BM$12="Traffic 2/3",VLOOKUP($BO38,$AR$88:$AT$94,2),VLOOKUP($BO38,$AR$88:$AT$94,3))</f>
        <v>#N/A</v>
      </c>
      <c r="BT38" s="19"/>
      <c r="BU38" s="19" t="str">
        <f>IF(ISNUMBER(BO38),IF($BN$38="Table E",BP38,IF($BN$38="Table F",BQ38,IF($BN$38="Table G",BR38,BS38))),"")</f>
        <v/>
      </c>
      <c r="BV38" s="19" t="str">
        <f>BN38</f>
        <v>No Core</v>
      </c>
      <c r="BW38" s="19" t="str">
        <f>IF(BV38="No Core","",BU38)</f>
        <v/>
      </c>
      <c r="BX38" s="19" t="str">
        <f>IF(ISNUMBER(BW38),IF($BQ$76="No",BW38,IF(BW38&gt;1,1,BW38)),"")</f>
        <v/>
      </c>
      <c r="BY38" s="19" t="str">
        <f>IF(ISNUMBER(BX38),IF($AD$76="No",BX38,1),"")</f>
        <v/>
      </c>
      <c r="BZ38" s="19"/>
      <c r="CA38" s="19"/>
      <c r="CB38" s="32"/>
      <c r="CI38" s="31"/>
      <c r="CJ38" s="19" t="str">
        <f t="shared" si="43"/>
        <v>5.2C</v>
      </c>
      <c r="CK38" s="19" t="str">
        <f t="shared" si="44"/>
        <v/>
      </c>
      <c r="CL38" s="144" t="str">
        <f t="shared" si="45"/>
        <v/>
      </c>
      <c r="CM38" s="19" t="str">
        <f t="shared" si="46"/>
        <v/>
      </c>
      <c r="CN38" s="145" t="str">
        <f t="shared" si="47"/>
        <v/>
      </c>
      <c r="CO38" s="19" t="str">
        <f t="shared" si="48"/>
        <v/>
      </c>
      <c r="CP38" s="144" t="str">
        <f t="shared" si="49"/>
        <v/>
      </c>
      <c r="CQ38" s="19"/>
      <c r="CR38" s="19"/>
      <c r="CS38" s="173" t="str">
        <f>CONCATENATE("Lot ",B35)</f>
        <v>Lot 5</v>
      </c>
      <c r="CT38" s="19" t="s">
        <v>320</v>
      </c>
      <c r="CU38" s="19"/>
      <c r="CV38" s="32" t="e">
        <f>IF(ROUND((CV37*1000),0)-(CV37*1000)=0.5,IF(EVEN((CV37*1000))-(CV37*1000)=1.5,(EVEN((CV37*1000))-2)/1000,EVEN((CV37*1000))/1000),ROUND(CV37,3))</f>
        <v>#DIV/0!</v>
      </c>
      <c r="CX38" s="31"/>
      <c r="CY38" s="19"/>
      <c r="CZ38" s="19"/>
      <c r="DA38" s="31"/>
      <c r="DB38" s="35"/>
      <c r="DC38" s="35"/>
      <c r="DD38" s="35"/>
      <c r="DE38" s="35"/>
      <c r="DF38" s="35"/>
      <c r="DG38" s="35"/>
      <c r="DH38" s="35"/>
      <c r="DI38" s="35"/>
      <c r="DJ38" s="35"/>
      <c r="DK38" s="35"/>
      <c r="DL38" s="35"/>
      <c r="DM38" s="36"/>
      <c r="DO38" s="31"/>
      <c r="DP38" s="19" t="str">
        <f t="shared" si="50"/>
        <v>5.2C</v>
      </c>
      <c r="DQ38" s="264" t="str">
        <f t="shared" si="52"/>
        <v/>
      </c>
      <c r="DR38" s="19" t="str">
        <f t="shared" si="54"/>
        <v/>
      </c>
      <c r="DS38" s="19"/>
      <c r="DT38" s="19"/>
      <c r="DU38" s="19"/>
      <c r="DV38" s="32"/>
    </row>
    <row r="39" spans="1:143" ht="15.75" thickTop="1" x14ac:dyDescent="0.25">
      <c r="A39" s="116"/>
      <c r="B39" s="128">
        <f>IF($AK$43&gt;5,B35+1,"")</f>
        <v>6</v>
      </c>
      <c r="C39" s="129" t="str">
        <f>IF(ISNUMBER(B39),"Contr. QC","")</f>
        <v>Contr. QC</v>
      </c>
      <c r="D39" s="129">
        <f>IF(ISNUMBER(B39),B39+0.1,"")</f>
        <v>6.1</v>
      </c>
      <c r="E39" s="216"/>
      <c r="F39" s="217"/>
      <c r="G39" s="239"/>
      <c r="H39" s="217"/>
      <c r="I39" s="217"/>
      <c r="J39" s="217"/>
      <c r="K39" s="217"/>
      <c r="L39" s="152">
        <f>IF(ISNUMBER(B39),(H39-I39),"")</f>
        <v>0</v>
      </c>
      <c r="M39" s="149" t="str">
        <f t="shared" si="40"/>
        <v/>
      </c>
      <c r="N39" s="150" t="str">
        <f t="shared" si="41"/>
        <v/>
      </c>
      <c r="O39" s="149" t="str">
        <f t="shared" si="42"/>
        <v/>
      </c>
      <c r="P39" s="153" t="str">
        <f>IF(BG45&gt;0,BG45,"")</f>
        <v/>
      </c>
      <c r="Q39" s="146" t="str">
        <f>CR39</f>
        <v/>
      </c>
      <c r="R39" s="161" t="str">
        <f>CC21</f>
        <v/>
      </c>
      <c r="S39" s="161" t="str">
        <f>IF(ISERR(CG21),"",CG21)</f>
        <v/>
      </c>
      <c r="T39" s="151" t="e">
        <f>DE39</f>
        <v>#VALUE!</v>
      </c>
      <c r="U39" s="284" t="str">
        <f>IF(R39="Rem/Repl","Rem/Replace",DL39)</f>
        <v/>
      </c>
      <c r="V39" s="285"/>
      <c r="Z39" s="58"/>
      <c r="AA39" s="59" t="s">
        <v>25</v>
      </c>
      <c r="AB39" s="60"/>
      <c r="AC39" s="61"/>
      <c r="AD39" s="60"/>
      <c r="AE39" s="59" t="s">
        <v>26</v>
      </c>
      <c r="AF39" s="62"/>
      <c r="AI39" s="18">
        <v>999999</v>
      </c>
      <c r="AJ39" s="19">
        <v>17</v>
      </c>
      <c r="AK39" s="20"/>
      <c r="AN39" s="18">
        <v>93.1</v>
      </c>
      <c r="AO39" s="19">
        <v>1.02</v>
      </c>
      <c r="AP39" s="19">
        <v>1.04</v>
      </c>
      <c r="AQ39" s="19"/>
      <c r="AR39" s="19">
        <v>94.1</v>
      </c>
      <c r="AS39" s="19">
        <v>1.02</v>
      </c>
      <c r="AT39" s="19">
        <v>1.04</v>
      </c>
      <c r="AU39" s="20"/>
      <c r="AW39" s="31"/>
      <c r="AX39" s="19" t="str">
        <f t="shared" si="55"/>
        <v>Agency QA</v>
      </c>
      <c r="AY39" s="19" t="str">
        <f t="shared" si="56"/>
        <v>4.1C</v>
      </c>
      <c r="AZ39" s="19"/>
      <c r="BA39" s="19" t="str">
        <f>N33</f>
        <v/>
      </c>
      <c r="BB39" s="19"/>
      <c r="BD39" s="19"/>
      <c r="BE39" s="19"/>
      <c r="BF39" s="19"/>
      <c r="BG39" s="19"/>
      <c r="BH39" s="19"/>
      <c r="BI39" s="32"/>
      <c r="BL39" s="31" t="str">
        <f>D67</f>
        <v/>
      </c>
      <c r="BM39" s="19" t="str">
        <f>E67</f>
        <v>No Core</v>
      </c>
      <c r="BN39" s="19" t="str">
        <f>IF(AND($BM$30=40,$BM39="Confined"),"Table E",IF(AND($BM$30=40,$BM39="Unconfined"),"Table F",IF(AND($BM$30=30,$BM39="Confined"),"Table G",IF(AND($BM$30=30,$BM39="Unconfined"),"Table H","No Core"))))</f>
        <v>No Core</v>
      </c>
      <c r="BO39" s="19" t="str">
        <f>R67</f>
        <v/>
      </c>
      <c r="BP39" s="19" t="e">
        <f>IF($BM$32="Traffic 2/3",VLOOKUP($BO39,$AN$70:$AP$76,2),VLOOKUP($BO39,$AN$70:$AP$76,3))</f>
        <v>#N/A</v>
      </c>
      <c r="BQ39" s="19" t="e">
        <f>IF($BM$12="Traffic 2/3",VLOOKUP($BO39,$AR$70:$AT$76,2),VLOOKUP($BO39,$AR$70:$AT$76,3))</f>
        <v>#N/A</v>
      </c>
      <c r="BR39" s="19" t="e">
        <f>IF($BM$12="Traffic 2/3",VLOOKUP($BO39,$AN$88:$AP$94,2),VLOOKUP($BO39,$AN$88:$AP$94,3))</f>
        <v>#N/A</v>
      </c>
      <c r="BS39" s="19" t="e">
        <f>IF($BM$12="Traffic 2/3",VLOOKUP($BO39,$AR$88:$AT$94,2),VLOOKUP($BO39,$AR$88:$AT$94,3))</f>
        <v>#N/A</v>
      </c>
      <c r="BT39" s="19"/>
      <c r="BU39" s="19" t="str">
        <f>IF(ISNUMBER(BO39),IF($BN$39="Table E",BP39,IF($BN$39="Table F",BQ39,IF($BN$39="Table G",BR39,BS39))),"")</f>
        <v/>
      </c>
      <c r="BV39" s="19" t="str">
        <f>BN39</f>
        <v>No Core</v>
      </c>
      <c r="BW39" s="19" t="str">
        <f>IF(BV39="No Core","",BU39)</f>
        <v/>
      </c>
      <c r="BX39" s="19" t="str">
        <f>IF(ISNUMBER(BW39),IF($BQ$76="No",BW39,IF(BW39&gt;1,1,BW39)),"")</f>
        <v/>
      </c>
      <c r="BY39" s="19" t="str">
        <f>IF(ISNUMBER(BX39),IF($AD$76="No",BX39,1),"")</f>
        <v/>
      </c>
      <c r="BZ39" s="19"/>
      <c r="CA39" s="19"/>
      <c r="CB39" s="32"/>
      <c r="CI39" s="31"/>
      <c r="CJ39" s="19">
        <f t="shared" si="43"/>
        <v>6.1</v>
      </c>
      <c r="CK39" s="19" t="str">
        <f t="shared" si="44"/>
        <v/>
      </c>
      <c r="CL39" s="144" t="str">
        <f t="shared" si="45"/>
        <v/>
      </c>
      <c r="CM39" s="19" t="str">
        <f t="shared" si="46"/>
        <v/>
      </c>
      <c r="CN39" s="145" t="str">
        <f t="shared" si="47"/>
        <v/>
      </c>
      <c r="CO39" s="19" t="str">
        <f t="shared" si="48"/>
        <v/>
      </c>
      <c r="CP39" s="144" t="str">
        <f t="shared" si="49"/>
        <v/>
      </c>
      <c r="CQ39" s="19" t="str">
        <f>IF(ISNUMBER(P42),(P42/$H$14)*100,"")</f>
        <v/>
      </c>
      <c r="CR39" s="144" t="str">
        <f>IF(ISNUMBER(CQ39),IF(ROUND((CQ39*10),0)-(CQ39*10)=0.5,IF(EVEN((CQ39*10))-(CQ39*10)=1.5,(EVEN((CQ39*10))-2)/10,EVEN((CQ39*10))/10),ROUND(CQ39,1)),"")</f>
        <v/>
      </c>
      <c r="CS39" s="19"/>
      <c r="CT39" s="19" t="str">
        <f>CONCATENATE("Lot ",CJ39," Gmb used:")</f>
        <v>Lot 6.1 Gmb used:</v>
      </c>
      <c r="CU39" s="19"/>
      <c r="CV39" s="32" t="str">
        <f>P39</f>
        <v/>
      </c>
      <c r="CX39" s="31" t="s">
        <v>395</v>
      </c>
      <c r="CY39" s="19"/>
      <c r="CZ39" s="19"/>
      <c r="DA39" s="31"/>
      <c r="DB39" s="19">
        <f>B39</f>
        <v>6</v>
      </c>
      <c r="DC39" s="168" t="e">
        <f>IF(ISNUMBER(DB39),$AK$18,"")</f>
        <v>#VALUE!</v>
      </c>
      <c r="DD39" s="168" t="str">
        <f>IF(ISNUMBER(DB39),IF($DE$10="Sq Yd inch",$P$3/$DE$11,""),"")</f>
        <v/>
      </c>
      <c r="DE39" s="168" t="e">
        <f>IF($DE$10="Tons",DC39,DD39)</f>
        <v>#VALUE!</v>
      </c>
      <c r="DF39" s="203" t="str">
        <f>R39</f>
        <v/>
      </c>
      <c r="DG39" s="203" t="str">
        <f>S39</f>
        <v/>
      </c>
      <c r="DH39" s="168" t="str">
        <f>IF(ISNUMBER(DC39),IF(ISNUMBER(DG39),(DG39-1)*DC39*$DE$12,(DF39-1)*DC39*$DE$12),"")</f>
        <v/>
      </c>
      <c r="DI39" s="205" t="str">
        <f>IF(ISNUMBER(DH39),IF(ROUND((DH39*100),0)-(DH39*100)=0.5,IF(EVEN((DH39*100))-(DH39*100)=1.5,(EVEN((DH39*100))-2)/100,EVEN((DH39*100))/100),ROUND(DH39,2)),"")</f>
        <v/>
      </c>
      <c r="DJ39" s="168" t="str">
        <f>IF(ISNUMBER(DD39),IF(ISNUMBER(DG39),(DG39-1)*DE39*$DE$12,(DF39-1)*DE39*$DE$12),"")</f>
        <v/>
      </c>
      <c r="DK39" s="205" t="str">
        <f>IF(ISNUMBER(DJ39),IF(ROUND((DJ39*100),0)-(DJ39*100)=0.5,IF(EVEN((DJ39*100))-(DJ39*100)=1.5,(EVEN((DJ39*100))-2)/100,EVEN((DJ39*100))/100),ROUND(DJ39,2)),"")</f>
        <v/>
      </c>
      <c r="DL39" s="168" t="str">
        <f>IF($DE$10="Tons",DI39,DK39)</f>
        <v/>
      </c>
      <c r="DM39" s="32"/>
      <c r="DO39" s="31"/>
      <c r="DP39" s="19">
        <f t="shared" si="50"/>
        <v>6.1</v>
      </c>
      <c r="DQ39" s="264" t="str">
        <f t="shared" si="52"/>
        <v/>
      </c>
      <c r="DR39" s="19" t="str">
        <f t="shared" si="54"/>
        <v/>
      </c>
      <c r="DS39" s="19">
        <f>IF(OR(DR39="Yes",DR40="Yes",DR41="Yes",DR42="Yes"),"Engr Decision",0.7)</f>
        <v>0.7</v>
      </c>
      <c r="DT39" s="19">
        <f>V39</f>
        <v>0</v>
      </c>
      <c r="DU39" s="19">
        <f>IF(DS39="Engr Decision",IF(DT39="Yes",0.5,"Rem &amp; Repl"),DS39)</f>
        <v>0.7</v>
      </c>
      <c r="DV39" s="32"/>
    </row>
    <row r="40" spans="1:143" x14ac:dyDescent="0.25">
      <c r="A40" s="116"/>
      <c r="B40" s="130"/>
      <c r="C40" s="131" t="str">
        <f>IF(ISNUMBER(B39),"Contr. QC","")</f>
        <v>Contr. QC</v>
      </c>
      <c r="D40" s="131">
        <f>IF(ISNUMBER(B39),B39+0.2,"")</f>
        <v>6.2</v>
      </c>
      <c r="E40" s="218"/>
      <c r="F40" s="219"/>
      <c r="G40" s="240"/>
      <c r="H40" s="219"/>
      <c r="I40" s="219"/>
      <c r="J40" s="219"/>
      <c r="K40" s="219"/>
      <c r="L40" s="149">
        <f>IF(ISNUMBER(B39),(H40-I40),"")</f>
        <v>0</v>
      </c>
      <c r="M40" s="149" t="str">
        <f t="shared" si="40"/>
        <v/>
      </c>
      <c r="N40" s="150" t="str">
        <f t="shared" si="41"/>
        <v/>
      </c>
      <c r="O40" s="149" t="str">
        <f t="shared" si="42"/>
        <v/>
      </c>
      <c r="P40" s="158" t="str">
        <f>IF(BG46&gt;0,BG46,"")</f>
        <v/>
      </c>
      <c r="Q40" s="131"/>
      <c r="R40" s="162"/>
      <c r="S40" s="162"/>
      <c r="T40" s="131"/>
      <c r="U40" s="250"/>
      <c r="V40" s="116"/>
      <c r="AA40" s="8" t="s">
        <v>27</v>
      </c>
      <c r="AB40" s="5"/>
      <c r="AC40" s="2" t="str">
        <f>D10</f>
        <v>1 to &lt; 3 [Level 3]</v>
      </c>
      <c r="AD40" s="2"/>
      <c r="AE40" s="2">
        <f>IF(AC40="&lt; 1 [Level 2]",2,IF(AC40="1 to &lt; 3 [Level 3]",3,IF(AC40="3 to &lt; 10 [Level 4]",4,5)))</f>
        <v>3</v>
      </c>
      <c r="AF40" s="2"/>
      <c r="AI40" s="18"/>
      <c r="AJ40" s="19"/>
      <c r="AK40" s="20"/>
      <c r="AN40" s="18">
        <v>93.6</v>
      </c>
      <c r="AO40" s="19">
        <v>1.03</v>
      </c>
      <c r="AP40" s="19">
        <v>1.05</v>
      </c>
      <c r="AQ40" s="19"/>
      <c r="AR40" s="19">
        <v>94.6</v>
      </c>
      <c r="AS40" s="19">
        <v>1.03</v>
      </c>
      <c r="AT40" s="19">
        <v>1.05</v>
      </c>
      <c r="AU40" s="20"/>
      <c r="AW40" s="31"/>
      <c r="AX40" s="19" t="str">
        <f t="shared" si="55"/>
        <v>Agency QA</v>
      </c>
      <c r="AY40" s="19" t="str">
        <f t="shared" si="56"/>
        <v>4.2C</v>
      </c>
      <c r="AZ40" s="19"/>
      <c r="BA40" s="19" t="str">
        <f>N34</f>
        <v/>
      </c>
      <c r="BB40" s="19"/>
      <c r="BD40" s="19"/>
      <c r="BE40" s="19"/>
      <c r="BF40" s="19"/>
      <c r="BG40" s="19"/>
      <c r="BH40" s="19"/>
      <c r="BI40" s="32"/>
      <c r="BL40" s="31" t="str">
        <f>D68</f>
        <v/>
      </c>
      <c r="BM40" s="19" t="str">
        <f>E68</f>
        <v>No Core</v>
      </c>
      <c r="BN40" s="19" t="str">
        <f>IF(AND($BM$30=40,$BM40="Confined"),"Table E",IF(AND($BM$30=40,$BM40="Unconfined"),"Table F",IF(AND($BM$30=30,$BM40="Confined"),"Table G",IF(AND($BM$30=30,$BM40="Unconfined"),"Table H","No Core"))))</f>
        <v>No Core</v>
      </c>
      <c r="BO40" s="19" t="str">
        <f>R68</f>
        <v/>
      </c>
      <c r="BP40" s="19" t="e">
        <f>IF($BM$32="Traffic 2/3",VLOOKUP($BO40,$AN$70:$AP$76,2),VLOOKUP($BO40,$AN$70:$AP$76,3))</f>
        <v>#N/A</v>
      </c>
      <c r="BQ40" s="19" t="e">
        <f>IF($BM$12="Traffic 2/3",VLOOKUP($BO40,$AR$70:$AT$76,2),VLOOKUP($BO40,$AR$70:$AT$76,3))</f>
        <v>#N/A</v>
      </c>
      <c r="BR40" s="19" t="e">
        <f>IF($BM$12="Traffic 2/3",VLOOKUP($BO40,$AN$88:$AP$94,2),VLOOKUP($BO40,$AN$88:$AP$94,3))</f>
        <v>#N/A</v>
      </c>
      <c r="BS40" s="19" t="e">
        <f>IF($BM$12="Traffic 2/3",VLOOKUP($BO40,$AR$88:$AT$94,2),VLOOKUP($BO40,$AR$88:$AT$94,3))</f>
        <v>#N/A</v>
      </c>
      <c r="BT40" s="19"/>
      <c r="BU40" s="19" t="str">
        <f>IF(ISNUMBER(BO40),IF($BN$40="Table E",BP40,IF($BN$40="Table F",BQ40,IF($BN$40="Table G",BR40,BS40))),"")</f>
        <v/>
      </c>
      <c r="BV40" s="19" t="str">
        <f>BN40</f>
        <v>No Core</v>
      </c>
      <c r="BW40" s="19" t="str">
        <f>IF(BV40="No Core","",BU40)</f>
        <v/>
      </c>
      <c r="BX40" s="19" t="str">
        <f>IF(ISNUMBER(BW40),IF($BQ$76="No",BW40,IF(BW40&gt;1,1,BW40)),"")</f>
        <v/>
      </c>
      <c r="BY40" s="19" t="str">
        <f>IF(ISNUMBER(BX40),IF($AD$76="No",BX40,1),"")</f>
        <v/>
      </c>
      <c r="BZ40" s="19"/>
      <c r="CA40" s="19"/>
      <c r="CB40" s="32"/>
      <c r="CI40" s="31"/>
      <c r="CJ40" s="19">
        <f t="shared" si="43"/>
        <v>6.2</v>
      </c>
      <c r="CK40" s="19" t="str">
        <f t="shared" si="44"/>
        <v/>
      </c>
      <c r="CL40" s="144" t="str">
        <f t="shared" si="45"/>
        <v/>
      </c>
      <c r="CM40" s="19" t="str">
        <f t="shared" si="46"/>
        <v/>
      </c>
      <c r="CN40" s="145" t="str">
        <f t="shared" si="47"/>
        <v/>
      </c>
      <c r="CO40" s="19" t="str">
        <f t="shared" si="48"/>
        <v/>
      </c>
      <c r="CP40" s="144" t="str">
        <f t="shared" si="49"/>
        <v/>
      </c>
      <c r="CQ40" s="19"/>
      <c r="CR40" s="19"/>
      <c r="CS40" s="19"/>
      <c r="CT40" s="19" t="str">
        <f>CONCATENATE("Lot ",CJ40," Gmb used:")</f>
        <v>Lot 6.2 Gmb used:</v>
      </c>
      <c r="CU40" s="19"/>
      <c r="CV40" s="32" t="str">
        <f>P40</f>
        <v/>
      </c>
      <c r="CX40" s="31" t="s">
        <v>396</v>
      </c>
      <c r="CY40" s="19"/>
      <c r="CZ40" s="19">
        <f>IF(CZ22="Tons",CZ37,CZ33)</f>
        <v>0</v>
      </c>
      <c r="DA40" s="31">
        <v>6</v>
      </c>
      <c r="DB40" s="19"/>
      <c r="DC40" s="19"/>
      <c r="DD40" s="19"/>
      <c r="DE40" s="19"/>
      <c r="DF40" s="19"/>
      <c r="DG40" s="19"/>
      <c r="DH40" s="19"/>
      <c r="DI40" s="19"/>
      <c r="DJ40" s="19"/>
      <c r="DK40" s="19"/>
      <c r="DL40" s="19"/>
      <c r="DM40" s="32"/>
      <c r="DO40" s="31"/>
      <c r="DP40" s="19">
        <f t="shared" si="50"/>
        <v>6.2</v>
      </c>
      <c r="DQ40" s="264" t="str">
        <f t="shared" si="52"/>
        <v/>
      </c>
      <c r="DR40" s="19" t="str">
        <f t="shared" si="54"/>
        <v/>
      </c>
      <c r="DS40" s="19"/>
      <c r="DT40" s="19"/>
      <c r="DU40" s="19"/>
      <c r="DV40" s="32"/>
    </row>
    <row r="41" spans="1:143" x14ac:dyDescent="0.25">
      <c r="A41" s="116"/>
      <c r="B41" s="130"/>
      <c r="C41" s="131" t="str">
        <f>IF(ISNUMBER(B39),"Agency QA","")</f>
        <v>Agency QA</v>
      </c>
      <c r="D41" s="131" t="str">
        <f>IF(ISNUMBER(B39),CONCATENATE(B39+0.1,"C"),"")</f>
        <v>6.1C</v>
      </c>
      <c r="E41" s="218"/>
      <c r="F41" s="219"/>
      <c r="G41" s="240"/>
      <c r="H41" s="219"/>
      <c r="I41" s="219"/>
      <c r="J41" s="219"/>
      <c r="K41" s="219"/>
      <c r="L41" s="149" t="str">
        <f>IF(ISNUMBER(B39),IF(H41="","",(H41-I41)),"")</f>
        <v/>
      </c>
      <c r="M41" s="149" t="str">
        <f t="shared" si="40"/>
        <v/>
      </c>
      <c r="N41" s="150" t="str">
        <f t="shared" si="41"/>
        <v/>
      </c>
      <c r="O41" s="149" t="str">
        <f t="shared" si="42"/>
        <v/>
      </c>
      <c r="P41" s="158"/>
      <c r="Q41" s="131" t="str">
        <f>IF(ISNUMBER(B39),IF(OR(BD45="Agency",BD46="Agency",$BG$84="Use Agency Cores"),"Agency Core(s) Used",""),"")</f>
        <v/>
      </c>
      <c r="R41" s="162"/>
      <c r="S41" s="162"/>
      <c r="T41" s="131"/>
      <c r="U41" s="250"/>
      <c r="V41" s="116"/>
      <c r="AA41" s="8" t="s">
        <v>28</v>
      </c>
      <c r="AB41" s="2"/>
      <c r="AC41" s="3"/>
      <c r="AD41" s="2"/>
      <c r="AE41" s="2"/>
      <c r="AF41" s="2"/>
      <c r="AI41" s="18" t="s">
        <v>189</v>
      </c>
      <c r="AJ41" s="19"/>
      <c r="AK41" s="20">
        <f>S3</f>
        <v>0</v>
      </c>
      <c r="AN41" s="18"/>
      <c r="AO41" s="19"/>
      <c r="AP41" s="19"/>
      <c r="AQ41" s="19"/>
      <c r="AR41" s="19"/>
      <c r="AS41" s="19"/>
      <c r="AT41" s="19"/>
      <c r="AU41" s="20"/>
      <c r="AW41" s="31">
        <f>B35</f>
        <v>5</v>
      </c>
      <c r="AX41" s="19" t="str">
        <f t="shared" si="55"/>
        <v>Contr. QC</v>
      </c>
      <c r="AY41" s="19">
        <f t="shared" si="56"/>
        <v>5.0999999999999996</v>
      </c>
      <c r="AZ41" s="19" t="str">
        <f>N35</f>
        <v/>
      </c>
      <c r="BA41" s="19"/>
      <c r="BB41" s="19" t="str">
        <f>IF(ISNUMBER(BA43),"Yes","No")</f>
        <v>No</v>
      </c>
      <c r="BC41" t="str">
        <f>IF(BB41="Yes",IF(ABS((AZ41-BA43))&lt;=0.03,AZ41,BA43),"")</f>
        <v/>
      </c>
      <c r="BD41" t="str">
        <f>IF(BB41="Yes",IF(ABS((AZ41-BA43))&lt;=0.03,"Contractor","Agency"),"")</f>
        <v/>
      </c>
      <c r="BE41" s="19" t="str">
        <f>IF(BD41="Contractor",BC41,"")</f>
        <v/>
      </c>
      <c r="BF41" s="19" t="str">
        <f>IF(BD41="Contractor",BA43,"")</f>
        <v/>
      </c>
      <c r="BG41" s="19" t="str">
        <f>IF(AND($BG$84="Use Agency Cores",ISNUMBER(BA43)),BA43,IF(BD41="Agency",BC41,AZ41))</f>
        <v/>
      </c>
      <c r="BH41" s="19"/>
      <c r="BI41" s="32"/>
      <c r="BL41" s="43"/>
      <c r="BM41" s="35"/>
      <c r="BN41" s="35"/>
      <c r="BO41" s="35"/>
      <c r="BP41" s="35"/>
      <c r="BQ41" s="35"/>
      <c r="BR41" s="35"/>
      <c r="BS41" s="35"/>
      <c r="BT41" s="35"/>
      <c r="BU41" s="35"/>
      <c r="BV41" s="35"/>
      <c r="BW41" s="35"/>
      <c r="BX41" s="35"/>
      <c r="BY41" s="35"/>
      <c r="BZ41" s="35"/>
      <c r="CA41" s="35"/>
      <c r="CB41" s="36"/>
      <c r="CI41" s="31"/>
      <c r="CJ41" s="19" t="str">
        <f t="shared" si="43"/>
        <v>6.1C</v>
      </c>
      <c r="CK41" s="19" t="str">
        <f t="shared" si="44"/>
        <v/>
      </c>
      <c r="CL41" s="144" t="str">
        <f t="shared" si="45"/>
        <v/>
      </c>
      <c r="CM41" s="19" t="str">
        <f t="shared" si="46"/>
        <v/>
      </c>
      <c r="CN41" s="145" t="str">
        <f t="shared" si="47"/>
        <v/>
      </c>
      <c r="CO41" s="19" t="str">
        <f t="shared" si="48"/>
        <v/>
      </c>
      <c r="CP41" s="144" t="str">
        <f t="shared" si="49"/>
        <v/>
      </c>
      <c r="CQ41" s="19"/>
      <c r="CR41" s="19"/>
      <c r="CS41" s="19"/>
      <c r="CT41" s="19"/>
      <c r="CU41" s="19" t="s">
        <v>319</v>
      </c>
      <c r="CV41" s="32" t="e">
        <f>AVERAGE(CV39:CV40)</f>
        <v>#DIV/0!</v>
      </c>
      <c r="CX41" s="43"/>
      <c r="CY41" s="35"/>
      <c r="CZ41" s="35"/>
      <c r="DA41" s="31"/>
      <c r="DB41" s="19"/>
      <c r="DC41" s="19"/>
      <c r="DD41" s="19"/>
      <c r="DE41" s="19"/>
      <c r="DF41" s="19"/>
      <c r="DG41" s="19"/>
      <c r="DH41" s="19"/>
      <c r="DI41" s="19"/>
      <c r="DJ41" s="19"/>
      <c r="DK41" s="19"/>
      <c r="DL41" s="19"/>
      <c r="DM41" s="32"/>
      <c r="DO41" s="31"/>
      <c r="DP41" s="19" t="str">
        <f t="shared" si="50"/>
        <v>6.1C</v>
      </c>
      <c r="DQ41" s="264" t="str">
        <f t="shared" si="52"/>
        <v/>
      </c>
      <c r="DR41" s="19" t="str">
        <f t="shared" si="54"/>
        <v/>
      </c>
      <c r="DS41" s="19"/>
      <c r="DT41" s="19"/>
      <c r="DU41" s="19"/>
      <c r="DV41" s="32"/>
    </row>
    <row r="42" spans="1:143" ht="15.75" thickBot="1" x14ac:dyDescent="0.3">
      <c r="A42" s="116"/>
      <c r="B42" s="130"/>
      <c r="C42" s="131" t="str">
        <f>IF(ISNUMBER(B39),"Agency QA","")</f>
        <v>Agency QA</v>
      </c>
      <c r="D42" s="131" t="str">
        <f>IF(ISNUMBER(B39),CONCATENATE(B39+0.2,"C"),"")</f>
        <v>6.2C</v>
      </c>
      <c r="E42" s="218"/>
      <c r="F42" s="219"/>
      <c r="G42" s="241"/>
      <c r="H42" s="219"/>
      <c r="I42" s="219"/>
      <c r="J42" s="219"/>
      <c r="K42" s="219"/>
      <c r="L42" s="149" t="str">
        <f>IF(ISNUMBER(B39),IF(H42="","",(H42-I42)),"")</f>
        <v/>
      </c>
      <c r="M42" s="149" t="str">
        <f t="shared" si="40"/>
        <v/>
      </c>
      <c r="N42" s="150" t="str">
        <f t="shared" si="41"/>
        <v/>
      </c>
      <c r="O42" s="149" t="str">
        <f t="shared" si="42"/>
        <v/>
      </c>
      <c r="P42" s="158" t="str">
        <f>IF(ISNUMBER(P39),CV42,"")</f>
        <v/>
      </c>
      <c r="Q42" s="132" t="str">
        <f>IF(ISNUMBER(P42),"= Avg. Gmb","")</f>
        <v/>
      </c>
      <c r="R42" s="162"/>
      <c r="S42" s="282"/>
      <c r="T42" s="286"/>
      <c r="U42" s="287"/>
      <c r="V42" s="252"/>
      <c r="AA42" s="8" t="s">
        <v>29</v>
      </c>
      <c r="AB42" s="2"/>
      <c r="AC42" s="3"/>
      <c r="AD42" s="2"/>
      <c r="AE42" s="2"/>
      <c r="AF42" s="2"/>
      <c r="AI42" s="18"/>
      <c r="AJ42" s="19"/>
      <c r="AK42" s="20"/>
      <c r="AN42" s="18"/>
      <c r="AO42" s="19" t="s">
        <v>115</v>
      </c>
      <c r="AP42" s="19"/>
      <c r="AQ42" s="19"/>
      <c r="AR42" s="19"/>
      <c r="AS42" s="19" t="s">
        <v>116</v>
      </c>
      <c r="AT42" s="19"/>
      <c r="AU42" s="20"/>
      <c r="AW42" s="31"/>
      <c r="AX42" s="19" t="str">
        <f t="shared" si="55"/>
        <v>Contr. QC</v>
      </c>
      <c r="AY42" s="19">
        <f t="shared" si="56"/>
        <v>5.2</v>
      </c>
      <c r="AZ42" s="19" t="str">
        <f>N36</f>
        <v/>
      </c>
      <c r="BA42" s="19"/>
      <c r="BB42" s="19" t="str">
        <f>IF(ISNUMBER(BA44),"Yes","No")</f>
        <v>No</v>
      </c>
      <c r="BC42" t="str">
        <f>IF(BB42="Yes",IF(ABS((AZ42-BA44))&lt;=0.03,AZ42,BA44),"")</f>
        <v/>
      </c>
      <c r="BD42" t="str">
        <f>IF(BB42="Yes",IF(ABS((AZ42-BA44))&lt;=0.03,"Contractor","Agency"),"")</f>
        <v/>
      </c>
      <c r="BE42" s="19" t="str">
        <f>IF(BD42="Contractor",BC42,"")</f>
        <v/>
      </c>
      <c r="BF42" s="19" t="str">
        <f>IF(BD42="Contractor",BA44,"")</f>
        <v/>
      </c>
      <c r="BG42" s="19" t="str">
        <f>IF(AND($BG$84="Use Agency Cores",ISNUMBER(BA44)),BA44,IF(BD42="Agency",BC42,AZ42))</f>
        <v/>
      </c>
      <c r="BH42" s="19"/>
      <c r="BI42" s="32"/>
      <c r="CI42" s="31"/>
      <c r="CJ42" s="19" t="str">
        <f t="shared" si="43"/>
        <v>6.2C</v>
      </c>
      <c r="CK42" s="19" t="str">
        <f t="shared" si="44"/>
        <v/>
      </c>
      <c r="CL42" s="144" t="str">
        <f t="shared" si="45"/>
        <v/>
      </c>
      <c r="CM42" s="19" t="str">
        <f t="shared" si="46"/>
        <v/>
      </c>
      <c r="CN42" s="145" t="str">
        <f t="shared" si="47"/>
        <v/>
      </c>
      <c r="CO42" s="19" t="str">
        <f t="shared" si="48"/>
        <v/>
      </c>
      <c r="CP42" s="144" t="str">
        <f t="shared" si="49"/>
        <v/>
      </c>
      <c r="CQ42" s="19"/>
      <c r="CR42" s="19"/>
      <c r="CS42" s="173" t="str">
        <f>CONCATENATE("Lot ",B39)</f>
        <v>Lot 6</v>
      </c>
      <c r="CT42" s="19" t="s">
        <v>320</v>
      </c>
      <c r="CU42" s="19"/>
      <c r="CV42" s="32" t="e">
        <f>IF(ROUND((CV41*1000),0)-(CV41*1000)=0.5,IF(EVEN((CV41*1000))-(CV41*1000)=1.5,(EVEN((CV41*1000))-2)/1000,EVEN((CV41*1000))/1000),ROUND(CV41,3))</f>
        <v>#DIV/0!</v>
      </c>
      <c r="DA42" s="31"/>
      <c r="DB42" s="19"/>
      <c r="DC42" s="19"/>
      <c r="DD42" s="19"/>
      <c r="DE42" s="19"/>
      <c r="DF42" s="19"/>
      <c r="DG42" s="19"/>
      <c r="DH42" s="19"/>
      <c r="DI42" s="19"/>
      <c r="DJ42" s="19"/>
      <c r="DK42" s="19"/>
      <c r="DL42" s="19"/>
      <c r="DM42" s="32"/>
      <c r="DO42" s="31"/>
      <c r="DP42" s="19" t="str">
        <f t="shared" si="50"/>
        <v>6.2C</v>
      </c>
      <c r="DQ42" s="264" t="str">
        <f t="shared" si="52"/>
        <v/>
      </c>
      <c r="DR42" s="19" t="str">
        <f t="shared" si="54"/>
        <v/>
      </c>
      <c r="DS42" s="19"/>
      <c r="DT42" s="19"/>
      <c r="DU42" s="19"/>
      <c r="DV42" s="32"/>
    </row>
    <row r="43" spans="1:143" ht="16.5" thickTop="1" thickBot="1" x14ac:dyDescent="0.3">
      <c r="A43" s="116"/>
      <c r="B43" s="128">
        <f>IF($AK$43&gt;6,B39+1,"")</f>
        <v>7</v>
      </c>
      <c r="C43" s="129" t="str">
        <f>IF(ISNUMBER(B43),"Contr. QC","")</f>
        <v>Contr. QC</v>
      </c>
      <c r="D43" s="129">
        <f>IF(ISNUMBER(B43),B43+0.1,"")</f>
        <v>7.1</v>
      </c>
      <c r="E43" s="216"/>
      <c r="F43" s="217"/>
      <c r="G43" s="239"/>
      <c r="H43" s="217"/>
      <c r="I43" s="217"/>
      <c r="J43" s="217"/>
      <c r="K43" s="217"/>
      <c r="L43" s="152">
        <f>IF(ISNUMBER(B43),(H43-I43),"")</f>
        <v>0</v>
      </c>
      <c r="M43" s="152" t="str">
        <f t="shared" si="40"/>
        <v/>
      </c>
      <c r="N43" s="153" t="str">
        <f t="shared" si="41"/>
        <v/>
      </c>
      <c r="O43" s="152" t="str">
        <f t="shared" si="42"/>
        <v/>
      </c>
      <c r="P43" s="153" t="str">
        <f>IF(BG49&gt;0,BG49,"")</f>
        <v/>
      </c>
      <c r="Q43" s="146" t="str">
        <f>CR43</f>
        <v/>
      </c>
      <c r="R43" s="161" t="str">
        <f>CC22</f>
        <v/>
      </c>
      <c r="S43" s="161" t="str">
        <f>IF(ISERR(CG22),"",CG22)</f>
        <v/>
      </c>
      <c r="T43" s="151" t="e">
        <f>DE43</f>
        <v>#VALUE!</v>
      </c>
      <c r="U43" s="284" t="str">
        <f>IF(R43="Rem/Repl","Rem/Replace",DL43)</f>
        <v/>
      </c>
      <c r="V43" s="285"/>
      <c r="AA43" s="8" t="s">
        <v>30</v>
      </c>
      <c r="AB43" s="2"/>
      <c r="AC43" s="3"/>
      <c r="AD43" s="2"/>
      <c r="AE43" s="2"/>
      <c r="AF43" s="2"/>
      <c r="AI43" s="37" t="s">
        <v>190</v>
      </c>
      <c r="AJ43" s="38"/>
      <c r="AK43" s="39" t="str">
        <f>IF(AK41&gt;0,AK41,AK16)</f>
        <v>See Table 2360-21</v>
      </c>
      <c r="AN43" s="18" t="s">
        <v>114</v>
      </c>
      <c r="AO43" s="19"/>
      <c r="AP43" s="19"/>
      <c r="AQ43" s="19"/>
      <c r="AR43" s="19" t="s">
        <v>114</v>
      </c>
      <c r="AS43" s="19"/>
      <c r="AT43" s="19"/>
      <c r="AU43" s="20"/>
      <c r="AW43" s="31"/>
      <c r="AX43" s="19" t="str">
        <f t="shared" si="55"/>
        <v>Agency QA</v>
      </c>
      <c r="AY43" s="19" t="str">
        <f t="shared" si="56"/>
        <v>5.1C</v>
      </c>
      <c r="AZ43" s="19"/>
      <c r="BA43" s="19" t="str">
        <f>N37</f>
        <v/>
      </c>
      <c r="BB43" s="19"/>
      <c r="BD43" s="19"/>
      <c r="BE43" s="19"/>
      <c r="BF43" s="19"/>
      <c r="BG43" s="19"/>
      <c r="BH43" s="19"/>
      <c r="BI43" s="32"/>
      <c r="BL43" t="s">
        <v>230</v>
      </c>
      <c r="CI43" s="31"/>
      <c r="CJ43" s="19">
        <f t="shared" si="43"/>
        <v>7.1</v>
      </c>
      <c r="CK43" s="19" t="str">
        <f t="shared" si="44"/>
        <v/>
      </c>
      <c r="CL43" s="144" t="str">
        <f t="shared" si="45"/>
        <v/>
      </c>
      <c r="CM43" s="19" t="str">
        <f t="shared" si="46"/>
        <v/>
      </c>
      <c r="CN43" s="145" t="str">
        <f t="shared" si="47"/>
        <v/>
      </c>
      <c r="CO43" s="19" t="str">
        <f t="shared" si="48"/>
        <v/>
      </c>
      <c r="CP43" s="144" t="str">
        <f t="shared" si="49"/>
        <v/>
      </c>
      <c r="CQ43" s="19" t="str">
        <f>IF(ISNUMBER(P46),(P46/$H$14)*100,"")</f>
        <v/>
      </c>
      <c r="CR43" s="144" t="str">
        <f>IF(ISNUMBER(CQ43),IF(ROUND((CQ43*10),0)-(CQ43*10)=0.5,IF(EVEN((CQ43*10))-(CQ43*10)=1.5,(EVEN((CQ43*10))-2)/10,EVEN((CQ43*10))/10),ROUND(CQ43,1)),"")</f>
        <v/>
      </c>
      <c r="CS43" s="19"/>
      <c r="CT43" s="19" t="str">
        <f>CONCATENATE("Lot ",CJ43," Gmb used:")</f>
        <v>Lot 7.1 Gmb used:</v>
      </c>
      <c r="CU43" s="19"/>
      <c r="CV43" s="32" t="str">
        <f>P43</f>
        <v/>
      </c>
      <c r="DA43" s="31"/>
      <c r="DB43" s="168">
        <f>B43</f>
        <v>7</v>
      </c>
      <c r="DC43" s="168" t="e">
        <f>IF(ISNUMBER(DB43),$AK$18,"")</f>
        <v>#VALUE!</v>
      </c>
      <c r="DD43" s="168" t="str">
        <f>IF(ISNUMBER(DB43),IF($DE$10="Sq Yd inch",$P$3/$DE$11,""),"")</f>
        <v/>
      </c>
      <c r="DE43" s="168" t="e">
        <f>IF($DE$10="Tons",DC43,DD43)</f>
        <v>#VALUE!</v>
      </c>
      <c r="DF43" s="203" t="str">
        <f>R43</f>
        <v/>
      </c>
      <c r="DG43" s="203" t="str">
        <f>S43</f>
        <v/>
      </c>
      <c r="DH43" s="168" t="str">
        <f>IF(ISNUMBER(DC43),IF(ISNUMBER(DG43),(DG43-1)*DC43*$DE$12,(DF43-1)*DC43*$DE$12),"")</f>
        <v/>
      </c>
      <c r="DI43" s="205" t="str">
        <f>IF(ISNUMBER(DH43),IF(ROUND((DH43*100),0)-(DH43*100)=0.5,IF(EVEN((DH43*100))-(DH43*100)=1.5,(EVEN((DH43*100))-2)/100,EVEN((DH43*100))/100),ROUND(DH43,2)),"")</f>
        <v/>
      </c>
      <c r="DJ43" s="168" t="str">
        <f>IF(ISNUMBER(DD43),IF(ISNUMBER(DG43),(DG43-1)*DE43*$DE$12,(DF43-1)*DE43*$DE$12),"")</f>
        <v/>
      </c>
      <c r="DK43" s="205" t="str">
        <f>IF(ISNUMBER(DJ43),IF(ROUND((DJ43*100),0)-(DJ43*100)=0.5,IF(EVEN((DJ43*100))-(DJ43*100)=1.5,(EVEN((DJ43*100))-2)/100,EVEN((DJ43*100))/100),ROUND(DJ43,2)),"")</f>
        <v/>
      </c>
      <c r="DL43" s="168" t="str">
        <f>IF($DE$10="Tons",DI43,DK43)</f>
        <v/>
      </c>
      <c r="DM43" s="182"/>
      <c r="DO43" s="31"/>
      <c r="DP43" s="19">
        <f t="shared" si="50"/>
        <v>7.1</v>
      </c>
      <c r="DQ43" s="264" t="str">
        <f t="shared" si="52"/>
        <v/>
      </c>
      <c r="DR43" s="19" t="str">
        <f t="shared" si="54"/>
        <v/>
      </c>
      <c r="DS43" s="19">
        <f>IF(OR(DR43="Yes",DR44="Yes",DR45="Yes",DR46="Yes"),"Engr Decision",0.7)</f>
        <v>0.7</v>
      </c>
      <c r="DT43" s="19">
        <f>V43</f>
        <v>0</v>
      </c>
      <c r="DU43" s="19">
        <f>IF(DS43="Engr Decision",IF(DT43="Yes",0.5,"Rem/Repl"),DS43)</f>
        <v>0.7</v>
      </c>
      <c r="DV43" s="32"/>
    </row>
    <row r="44" spans="1:143" ht="15.75" thickTop="1" x14ac:dyDescent="0.25">
      <c r="A44" s="116"/>
      <c r="B44" s="130"/>
      <c r="C44" s="131" t="str">
        <f>IF(ISNUMBER(B43),"Contr. QC","")</f>
        <v>Contr. QC</v>
      </c>
      <c r="D44" s="131">
        <f>IF(ISNUMBER(B43),B43+0.2,"")</f>
        <v>7.2</v>
      </c>
      <c r="E44" s="218"/>
      <c r="F44" s="219"/>
      <c r="G44" s="240"/>
      <c r="H44" s="219"/>
      <c r="I44" s="219"/>
      <c r="J44" s="219"/>
      <c r="K44" s="219"/>
      <c r="L44" s="149">
        <f>IF(ISNUMBER(B43),(H44-I44),"")</f>
        <v>0</v>
      </c>
      <c r="M44" s="149" t="str">
        <f t="shared" si="40"/>
        <v/>
      </c>
      <c r="N44" s="150" t="str">
        <f t="shared" si="41"/>
        <v/>
      </c>
      <c r="O44" s="149" t="str">
        <f t="shared" si="42"/>
        <v/>
      </c>
      <c r="P44" s="158" t="str">
        <f>IF(BG50&gt;0,BG50,"")</f>
        <v/>
      </c>
      <c r="Q44" s="131"/>
      <c r="R44" s="162"/>
      <c r="S44" s="162"/>
      <c r="T44" s="131"/>
      <c r="U44" s="250"/>
      <c r="V44" s="116"/>
      <c r="AA44" s="4"/>
      <c r="AB44" s="2"/>
      <c r="AC44" s="3"/>
      <c r="AD44" s="2"/>
      <c r="AE44" s="2"/>
      <c r="AF44" s="2"/>
      <c r="AN44" s="18"/>
      <c r="AO44" s="19"/>
      <c r="AP44" s="19"/>
      <c r="AQ44" s="19"/>
      <c r="AR44" s="19"/>
      <c r="AS44" s="19"/>
      <c r="AT44" s="19"/>
      <c r="AU44" s="20"/>
      <c r="AW44" s="31"/>
      <c r="AX44" s="19" t="str">
        <f t="shared" si="55"/>
        <v>Agency QA</v>
      </c>
      <c r="AY44" s="19" t="str">
        <f t="shared" si="56"/>
        <v>5.2C</v>
      </c>
      <c r="AZ44" s="19"/>
      <c r="BA44" s="19" t="str">
        <f>N38</f>
        <v/>
      </c>
      <c r="BB44" s="19"/>
      <c r="BD44" s="19"/>
      <c r="BE44" s="19"/>
      <c r="BF44" s="19"/>
      <c r="BG44" s="19"/>
      <c r="BH44" s="19"/>
      <c r="BI44" s="32"/>
      <c r="BL44" s="15"/>
      <c r="BM44" s="16"/>
      <c r="BN44" s="16"/>
      <c r="BO44" s="17"/>
      <c r="CI44" s="31"/>
      <c r="CJ44" s="19">
        <f t="shared" si="43"/>
        <v>7.2</v>
      </c>
      <c r="CK44" s="19" t="str">
        <f t="shared" si="44"/>
        <v/>
      </c>
      <c r="CL44" s="144" t="str">
        <f t="shared" si="45"/>
        <v/>
      </c>
      <c r="CM44" s="19" t="str">
        <f t="shared" si="46"/>
        <v/>
      </c>
      <c r="CN44" s="145" t="str">
        <f t="shared" si="47"/>
        <v/>
      </c>
      <c r="CO44" s="19" t="str">
        <f t="shared" si="48"/>
        <v/>
      </c>
      <c r="CP44" s="144" t="str">
        <f t="shared" si="49"/>
        <v/>
      </c>
      <c r="CQ44" s="19"/>
      <c r="CR44" s="19"/>
      <c r="CS44" s="19"/>
      <c r="CT44" s="19" t="str">
        <f>CONCATENATE("Lot ",CJ44," Gmb used:")</f>
        <v>Lot 7.2 Gmb used:</v>
      </c>
      <c r="CU44" s="19"/>
      <c r="CV44" s="32" t="str">
        <f>P44</f>
        <v/>
      </c>
      <c r="DA44" s="31">
        <v>7</v>
      </c>
      <c r="DB44" s="19"/>
      <c r="DC44" s="19"/>
      <c r="DD44" s="19"/>
      <c r="DE44" s="19"/>
      <c r="DF44" s="19"/>
      <c r="DG44" s="19"/>
      <c r="DH44" s="19"/>
      <c r="DI44" s="19"/>
      <c r="DJ44" s="19"/>
      <c r="DK44" s="19"/>
      <c r="DL44" s="19"/>
      <c r="DM44" s="32"/>
      <c r="DO44" s="31"/>
      <c r="DP44" s="19">
        <f t="shared" si="50"/>
        <v>7.2</v>
      </c>
      <c r="DQ44" s="264" t="str">
        <f t="shared" si="52"/>
        <v/>
      </c>
      <c r="DR44" s="19" t="str">
        <f t="shared" si="54"/>
        <v/>
      </c>
      <c r="DS44" s="19"/>
      <c r="DT44" s="19"/>
      <c r="DU44" s="19"/>
      <c r="DV44" s="32"/>
    </row>
    <row r="45" spans="1:143" ht="15.75" thickBot="1" x14ac:dyDescent="0.3">
      <c r="A45" s="116"/>
      <c r="B45" s="130"/>
      <c r="C45" s="131" t="str">
        <f>IF(ISNUMBER(B43),"Agency QA","")</f>
        <v>Agency QA</v>
      </c>
      <c r="D45" s="131" t="str">
        <f>IF(ISNUMBER(B43),CONCATENATE(B43+0.1,"C"),"")</f>
        <v>7.1C</v>
      </c>
      <c r="E45" s="218"/>
      <c r="F45" s="219"/>
      <c r="G45" s="240"/>
      <c r="H45" s="219"/>
      <c r="I45" s="219"/>
      <c r="J45" s="219"/>
      <c r="K45" s="219"/>
      <c r="L45" s="149" t="str">
        <f>IF(ISNUMBER(B43),IF(H45="","",(H45-I45)),"")</f>
        <v/>
      </c>
      <c r="M45" s="149" t="str">
        <f t="shared" si="40"/>
        <v/>
      </c>
      <c r="N45" s="150" t="str">
        <f t="shared" si="41"/>
        <v/>
      </c>
      <c r="O45" s="149" t="str">
        <f t="shared" si="42"/>
        <v/>
      </c>
      <c r="P45" s="158"/>
      <c r="Q45" s="131" t="str">
        <f>IF(ISNUMBER(B43),IF(OR(BD49="Agency",BD50="Agency",$BG$84="Use Agency Cores"),"Agency Core(s) Used",""),"")</f>
        <v/>
      </c>
      <c r="R45" s="162"/>
      <c r="S45" s="162"/>
      <c r="T45" s="131"/>
      <c r="U45" s="250"/>
      <c r="V45" s="116"/>
      <c r="Z45" s="63" t="s">
        <v>31</v>
      </c>
      <c r="AA45" s="64" t="s">
        <v>32</v>
      </c>
      <c r="AB45" s="65"/>
      <c r="AC45" s="66" t="s">
        <v>33</v>
      </c>
      <c r="AD45" s="67"/>
      <c r="AE45" s="67"/>
      <c r="AF45" s="64"/>
      <c r="AH45" t="s">
        <v>206</v>
      </c>
      <c r="AN45" s="18" t="s">
        <v>95</v>
      </c>
      <c r="AO45" s="19"/>
      <c r="AP45" s="19"/>
      <c r="AQ45" s="19"/>
      <c r="AR45" s="19" t="s">
        <v>95</v>
      </c>
      <c r="AS45" s="19"/>
      <c r="AT45" s="19"/>
      <c r="AU45" s="20"/>
      <c r="AW45" s="31">
        <f>B39</f>
        <v>6</v>
      </c>
      <c r="AX45" s="19" t="str">
        <f t="shared" si="55"/>
        <v>Contr. QC</v>
      </c>
      <c r="AY45" s="19">
        <f t="shared" si="56"/>
        <v>6.1</v>
      </c>
      <c r="AZ45" s="19" t="str">
        <f>N39</f>
        <v/>
      </c>
      <c r="BA45" s="19"/>
      <c r="BB45" s="19" t="str">
        <f>IF(ISNUMBER(BA47),"Yes","No")</f>
        <v>No</v>
      </c>
      <c r="BC45" t="str">
        <f>IF(BB45="Yes",IF(ABS((AZ45-BA47))&lt;=0.03,AZ45,BA47),"")</f>
        <v/>
      </c>
      <c r="BD45" t="str">
        <f>IF(BB45="Yes",IF(ABS((AZ45-BA47))&lt;=0.03,"Contractor","Agency"),"")</f>
        <v/>
      </c>
      <c r="BE45" s="19" t="str">
        <f>IF(BD45="Contractor",BC45,"")</f>
        <v/>
      </c>
      <c r="BF45" s="19" t="str">
        <f>IF(BD45="Contractor",BA47,"")</f>
        <v/>
      </c>
      <c r="BG45" s="19" t="str">
        <f>IF(AND($BG$84="Use Agency Cores",ISNUMBER(BA47)),BA47,IF(BD45="Agency",BC45,AZ45))</f>
        <v/>
      </c>
      <c r="BH45" s="19"/>
      <c r="BI45" s="32"/>
      <c r="BL45" s="104" t="s">
        <v>228</v>
      </c>
      <c r="BM45" s="105"/>
      <c r="BN45" s="105">
        <f>IF(AND(AE24="WE",AC65="No"),92,IF(AND(AE24="NW",AC65="No"),93,IF(AND(AC65="Yes",AC46=40),92,92)))</f>
        <v>92</v>
      </c>
      <c r="BO45" s="106"/>
      <c r="CI45" s="31"/>
      <c r="CJ45" s="19" t="str">
        <f t="shared" si="43"/>
        <v>7.1C</v>
      </c>
      <c r="CK45" s="19" t="str">
        <f t="shared" si="44"/>
        <v/>
      </c>
      <c r="CL45" s="144" t="str">
        <f t="shared" si="45"/>
        <v/>
      </c>
      <c r="CM45" s="19" t="str">
        <f t="shared" si="46"/>
        <v/>
      </c>
      <c r="CN45" s="145" t="str">
        <f t="shared" si="47"/>
        <v/>
      </c>
      <c r="CO45" s="19" t="str">
        <f t="shared" si="48"/>
        <v/>
      </c>
      <c r="CP45" s="144" t="str">
        <f t="shared" si="49"/>
        <v/>
      </c>
      <c r="CQ45" s="19"/>
      <c r="CR45" s="19"/>
      <c r="CS45" s="19"/>
      <c r="CT45" s="19"/>
      <c r="CU45" s="19" t="s">
        <v>319</v>
      </c>
      <c r="CV45" s="32" t="e">
        <f>AVERAGE(CV43:CV44)</f>
        <v>#DIV/0!</v>
      </c>
      <c r="DA45" s="31"/>
      <c r="DB45" s="19"/>
      <c r="DC45" s="19"/>
      <c r="DD45" s="19"/>
      <c r="DE45" s="19"/>
      <c r="DF45" s="19"/>
      <c r="DG45" s="19"/>
      <c r="DH45" s="19"/>
      <c r="DI45" s="19"/>
      <c r="DJ45" s="19"/>
      <c r="DK45" s="19"/>
      <c r="DL45" s="19"/>
      <c r="DM45" s="32"/>
      <c r="DO45" s="31"/>
      <c r="DP45" s="19" t="str">
        <f t="shared" si="50"/>
        <v>7.1C</v>
      </c>
      <c r="DQ45" s="264" t="str">
        <f t="shared" si="52"/>
        <v/>
      </c>
      <c r="DR45" s="19" t="str">
        <f t="shared" si="54"/>
        <v/>
      </c>
      <c r="DS45" s="19"/>
      <c r="DT45" s="19"/>
      <c r="DU45" s="19"/>
      <c r="DV45" s="32"/>
    </row>
    <row r="46" spans="1:143" ht="16.5" thickTop="1" thickBot="1" x14ac:dyDescent="0.3">
      <c r="A46" s="116"/>
      <c r="B46" s="133"/>
      <c r="C46" s="156" t="str">
        <f>IF(ISNUMBER(B43),"Agency QA","")</f>
        <v>Agency QA</v>
      </c>
      <c r="D46" s="156" t="str">
        <f>IF(ISNUMBER(B43),CONCATENATE(B43+0.2,"C"),"")</f>
        <v>7.2C</v>
      </c>
      <c r="E46" s="220"/>
      <c r="F46" s="221"/>
      <c r="G46" s="241"/>
      <c r="H46" s="221"/>
      <c r="I46" s="221"/>
      <c r="J46" s="221"/>
      <c r="K46" s="221"/>
      <c r="L46" s="154" t="str">
        <f>IF(ISNUMBER(B43),IF(H46="","",(H46-I46)),"")</f>
        <v/>
      </c>
      <c r="M46" s="154" t="str">
        <f t="shared" si="40"/>
        <v/>
      </c>
      <c r="N46" s="155" t="str">
        <f t="shared" si="41"/>
        <v/>
      </c>
      <c r="O46" s="154" t="str">
        <f t="shared" si="42"/>
        <v/>
      </c>
      <c r="P46" s="155" t="str">
        <f>IF(ISNUMBER(P43),CV46,"")</f>
        <v/>
      </c>
      <c r="Q46" s="135" t="str">
        <f>IF(ISNUMBER(P46),"= Avg. Gmb","")</f>
        <v/>
      </c>
      <c r="R46" s="163"/>
      <c r="S46" s="283"/>
      <c r="T46" s="286"/>
      <c r="U46" s="287"/>
      <c r="V46" s="252"/>
      <c r="Z46" s="14" t="s">
        <v>53</v>
      </c>
      <c r="AA46" s="7"/>
      <c r="AB46" s="10"/>
      <c r="AC46" s="7">
        <f>IF(D11="4%",40,30)</f>
        <v>40</v>
      </c>
      <c r="AD46" s="10"/>
      <c r="AE46" s="7"/>
      <c r="AF46" s="7"/>
      <c r="AH46" s="40" t="s">
        <v>200</v>
      </c>
      <c r="AI46" s="16"/>
      <c r="AJ46" s="16"/>
      <c r="AK46" s="17"/>
      <c r="AN46" s="18" t="s">
        <v>103</v>
      </c>
      <c r="AO46" s="19" t="s">
        <v>85</v>
      </c>
      <c r="AP46" s="19"/>
      <c r="AQ46" s="19"/>
      <c r="AR46" s="19" t="s">
        <v>100</v>
      </c>
      <c r="AS46" s="19" t="s">
        <v>85</v>
      </c>
      <c r="AT46" s="19"/>
      <c r="AU46" s="20"/>
      <c r="AW46" s="31"/>
      <c r="AX46" s="19" t="str">
        <f t="shared" si="55"/>
        <v>Contr. QC</v>
      </c>
      <c r="AY46" s="19">
        <f t="shared" si="56"/>
        <v>6.2</v>
      </c>
      <c r="AZ46" s="19" t="str">
        <f>N40</f>
        <v/>
      </c>
      <c r="BA46" s="19"/>
      <c r="BB46" s="19" t="str">
        <f>IF(ISNUMBER(BA48),"Yes","No")</f>
        <v>No</v>
      </c>
      <c r="BC46" t="str">
        <f>IF(BB46="Yes",IF(ABS((AZ46-BA48))&lt;=0.03,AZ46,BA48),"")</f>
        <v/>
      </c>
      <c r="BD46" t="str">
        <f>IF(BB46="Yes",IF(ABS((AZ46-BA48))&lt;=0.03,"Contractor","Agency"),"")</f>
        <v/>
      </c>
      <c r="BE46" s="19" t="str">
        <f>IF(BD46="Contractor",BC46,"")</f>
        <v/>
      </c>
      <c r="BF46" s="19" t="str">
        <f>IF(BD46="Contractor",BA48,"")</f>
        <v/>
      </c>
      <c r="BG46" s="19" t="str">
        <f>IF(AND($BG$84="Use Agency Cores",ISNUMBER(BA48)),BA48,IF(BD46="Agency",BC46,AZ46))</f>
        <v/>
      </c>
      <c r="BH46" s="19"/>
      <c r="BI46" s="32"/>
      <c r="BL46" s="18"/>
      <c r="BM46" s="19"/>
      <c r="BN46" s="19"/>
      <c r="BO46" s="20"/>
      <c r="CI46" s="31"/>
      <c r="CJ46" s="19" t="str">
        <f t="shared" si="43"/>
        <v>7.2C</v>
      </c>
      <c r="CK46" s="19" t="str">
        <f t="shared" si="44"/>
        <v/>
      </c>
      <c r="CL46" s="144" t="str">
        <f t="shared" si="45"/>
        <v/>
      </c>
      <c r="CM46" s="19" t="str">
        <f t="shared" si="46"/>
        <v/>
      </c>
      <c r="CN46" s="145" t="str">
        <f t="shared" si="47"/>
        <v/>
      </c>
      <c r="CO46" s="19" t="str">
        <f t="shared" si="48"/>
        <v/>
      </c>
      <c r="CP46" s="144" t="str">
        <f t="shared" si="49"/>
        <v/>
      </c>
      <c r="CQ46" s="19"/>
      <c r="CR46" s="19"/>
      <c r="CS46" s="173" t="str">
        <f>CONCATENATE("Lot ",B43)</f>
        <v>Lot 7</v>
      </c>
      <c r="CT46" s="19" t="s">
        <v>320</v>
      </c>
      <c r="CU46" s="19"/>
      <c r="CV46" s="32" t="e">
        <f>IF(ROUND((CV45*1000),0)-(CV45*1000)=0.5,IF(EVEN((CV45*1000))-(CV45*1000)=1.5,(EVEN((CV45*1000))-2)/1000,EVEN((CV45*1000))/1000),ROUND(CV45,3))</f>
        <v>#DIV/0!</v>
      </c>
      <c r="DA46" s="31"/>
      <c r="DB46" s="35"/>
      <c r="DC46" s="35"/>
      <c r="DD46" s="35"/>
      <c r="DE46" s="35"/>
      <c r="DF46" s="35"/>
      <c r="DG46" s="35"/>
      <c r="DH46" s="35"/>
      <c r="DI46" s="35"/>
      <c r="DJ46" s="35"/>
      <c r="DK46" s="35"/>
      <c r="DL46" s="35"/>
      <c r="DM46" s="36"/>
      <c r="DO46" s="31"/>
      <c r="DP46" s="19" t="str">
        <f t="shared" si="50"/>
        <v>7.2C</v>
      </c>
      <c r="DQ46" s="264" t="str">
        <f t="shared" si="52"/>
        <v/>
      </c>
      <c r="DR46" s="19" t="str">
        <f t="shared" si="54"/>
        <v/>
      </c>
      <c r="DS46" s="19"/>
      <c r="DT46" s="19"/>
      <c r="DU46" s="19"/>
      <c r="DV46" s="32"/>
    </row>
    <row r="47" spans="1:143" ht="15.75" thickTop="1" x14ac:dyDescent="0.25">
      <c r="A47" s="116"/>
      <c r="B47" s="128">
        <f>IF($AK$43&gt;7,B43+1,"")</f>
        <v>8</v>
      </c>
      <c r="C47" s="129" t="str">
        <f>IF(ISNUMBER(B47),"Contr. QC","")</f>
        <v>Contr. QC</v>
      </c>
      <c r="D47" s="129">
        <f>IF(ISNUMBER(B47),B47+0.1,"")</f>
        <v>8.1</v>
      </c>
      <c r="E47" s="216"/>
      <c r="F47" s="217"/>
      <c r="G47" s="242"/>
      <c r="H47" s="217"/>
      <c r="I47" s="217"/>
      <c r="J47" s="217"/>
      <c r="K47" s="217"/>
      <c r="L47" s="152">
        <f>IF(ISNUMBER(B47),(H47-I47),"")</f>
        <v>0</v>
      </c>
      <c r="M47" s="149" t="str">
        <f t="shared" si="40"/>
        <v/>
      </c>
      <c r="N47" s="150" t="str">
        <f t="shared" si="41"/>
        <v/>
      </c>
      <c r="O47" s="149" t="str">
        <f t="shared" si="42"/>
        <v/>
      </c>
      <c r="P47" s="153" t="str">
        <f>IF(BG53&gt;0,BG53,"")</f>
        <v/>
      </c>
      <c r="Q47" s="146" t="str">
        <f>CR47</f>
        <v/>
      </c>
      <c r="R47" s="161" t="str">
        <f>CC23</f>
        <v/>
      </c>
      <c r="S47" s="161" t="str">
        <f>IF(ISERR(CG23),"",CG23)</f>
        <v/>
      </c>
      <c r="T47" s="151" t="e">
        <f>DE47</f>
        <v>#VALUE!</v>
      </c>
      <c r="U47" s="284" t="str">
        <f>IF(R47="Rem/Repl","Rem/Replace",DL47)</f>
        <v/>
      </c>
      <c r="V47" s="285"/>
      <c r="Z47" s="14" t="s">
        <v>54</v>
      </c>
      <c r="AA47" s="7"/>
      <c r="AB47" s="10"/>
      <c r="AC47" s="7"/>
      <c r="AD47" s="7"/>
      <c r="AE47" s="7"/>
      <c r="AF47" s="7"/>
      <c r="AH47" s="18"/>
      <c r="AI47" s="19"/>
      <c r="AJ47" s="19"/>
      <c r="AK47" s="20"/>
      <c r="AN47" s="18" t="s">
        <v>101</v>
      </c>
      <c r="AO47" s="19" t="s">
        <v>86</v>
      </c>
      <c r="AP47" s="19"/>
      <c r="AQ47" s="19"/>
      <c r="AR47" s="19" t="s">
        <v>101</v>
      </c>
      <c r="AS47" s="19" t="s">
        <v>86</v>
      </c>
      <c r="AT47" s="19"/>
      <c r="AU47" s="20"/>
      <c r="AW47" s="31"/>
      <c r="AX47" s="19" t="str">
        <f t="shared" si="55"/>
        <v>Agency QA</v>
      </c>
      <c r="AY47" s="19" t="str">
        <f t="shared" si="56"/>
        <v>6.1C</v>
      </c>
      <c r="AZ47" s="19"/>
      <c r="BA47" s="19" t="str">
        <f>N41</f>
        <v/>
      </c>
      <c r="BB47" s="19"/>
      <c r="BD47" s="19"/>
      <c r="BE47" s="19"/>
      <c r="BF47" s="19"/>
      <c r="BG47" s="19"/>
      <c r="BH47" s="19"/>
      <c r="BI47" s="32"/>
      <c r="BL47" s="18" t="s">
        <v>66</v>
      </c>
      <c r="BM47" s="19" t="s">
        <v>82</v>
      </c>
      <c r="BN47" s="19"/>
      <c r="BO47" s="20"/>
      <c r="CI47" s="31"/>
      <c r="CJ47" s="19">
        <f t="shared" si="43"/>
        <v>8.1</v>
      </c>
      <c r="CK47" s="19" t="str">
        <f t="shared" si="44"/>
        <v/>
      </c>
      <c r="CL47" s="144" t="str">
        <f t="shared" si="45"/>
        <v/>
      </c>
      <c r="CM47" s="19" t="str">
        <f t="shared" si="46"/>
        <v/>
      </c>
      <c r="CN47" s="145" t="str">
        <f t="shared" si="47"/>
        <v/>
      </c>
      <c r="CO47" s="19" t="str">
        <f t="shared" si="48"/>
        <v/>
      </c>
      <c r="CP47" s="144" t="str">
        <f t="shared" si="49"/>
        <v/>
      </c>
      <c r="CQ47" s="19" t="str">
        <f>IF(ISNUMBER(P50),(P50/$H$14)*100,"")</f>
        <v/>
      </c>
      <c r="CR47" s="144" t="str">
        <f>IF(ISNUMBER(CQ47),IF(ROUND((CQ47*10),0)-(CQ47*10)=0.5,IF(EVEN((CQ47*10))-(CQ47*10)=1.5,(EVEN((CQ47*10))-2)/10,EVEN((CQ47*10))/10),ROUND(CQ47,1)),"")</f>
        <v/>
      </c>
      <c r="CS47" s="19"/>
      <c r="CT47" s="19" t="str">
        <f>CONCATENATE("Lot ",CJ47," Gmb used:")</f>
        <v>Lot 8.1 Gmb used:</v>
      </c>
      <c r="CU47" s="19"/>
      <c r="CV47" s="32" t="str">
        <f>P47</f>
        <v/>
      </c>
      <c r="DA47" s="31"/>
      <c r="DB47" s="19">
        <f>B47</f>
        <v>8</v>
      </c>
      <c r="DC47" s="168" t="e">
        <f>IF(ISNUMBER(DB47),$AK$18,"")</f>
        <v>#VALUE!</v>
      </c>
      <c r="DD47" s="168" t="str">
        <f>IF(ISNUMBER(DB47),IF($DE$10="Sq Yd inch",$P$3/$DE$11,""),"")</f>
        <v/>
      </c>
      <c r="DE47" s="168" t="e">
        <f>IF($DE$10="Tons",DC47,DD47)</f>
        <v>#VALUE!</v>
      </c>
      <c r="DF47" s="203" t="str">
        <f>R47</f>
        <v/>
      </c>
      <c r="DG47" s="203" t="str">
        <f>S47</f>
        <v/>
      </c>
      <c r="DH47" s="168" t="str">
        <f>IF(ISNUMBER(DC47),IF(ISNUMBER(DG47),(DG47-1)*DC47*$DE$12,(DF47-1)*DC47*$DE$12),"")</f>
        <v/>
      </c>
      <c r="DI47" s="205" t="str">
        <f>IF(ISNUMBER(DH47),IF(ROUND((DH47*100),0)-(DH47*100)=0.5,IF(EVEN((DH47*100))-(DH47*100)=1.5,(EVEN((DH47*100))-2)/100,EVEN((DH47*100))/100),ROUND(DH47,2)),"")</f>
        <v/>
      </c>
      <c r="DJ47" s="168" t="str">
        <f>IF(ISNUMBER(DD47),IF(ISNUMBER(DG47),(DG47-1)*DE47*$DE$12,(DF47-1)*DE47*$DE$12),"")</f>
        <v/>
      </c>
      <c r="DK47" s="205" t="str">
        <f>IF(ISNUMBER(DJ47),IF(ROUND((DJ47*100),0)-(DJ47*100)=0.5,IF(EVEN((DJ47*100))-(DJ47*100)=1.5,(EVEN((DJ47*100))-2)/100,EVEN((DJ47*100))/100),ROUND(DJ47,2)),"")</f>
        <v/>
      </c>
      <c r="DL47" s="168" t="str">
        <f>IF($DE$10="Tons",DI47,DK47)</f>
        <v/>
      </c>
      <c r="DM47" s="32"/>
      <c r="DO47" s="31"/>
      <c r="DP47" s="19">
        <f t="shared" si="50"/>
        <v>8.1</v>
      </c>
      <c r="DQ47" s="264" t="str">
        <f t="shared" si="52"/>
        <v/>
      </c>
      <c r="DR47" s="19" t="str">
        <f t="shared" si="54"/>
        <v/>
      </c>
      <c r="DS47" s="19">
        <f>IF(OR(DR47="Yes",DR48="Yes",DR49="Yes",DR50="Yes"),"Engr Decision",0.7)</f>
        <v>0.7</v>
      </c>
      <c r="DT47" s="19">
        <f>V47</f>
        <v>0</v>
      </c>
      <c r="DU47" s="19">
        <f>IF(DS47="Engr Decision",IF(DT47="Yes",0.5,"Rem/Repl"),DS47)</f>
        <v>0.7</v>
      </c>
      <c r="DV47" s="32"/>
    </row>
    <row r="48" spans="1:143" x14ac:dyDescent="0.25">
      <c r="A48" s="116"/>
      <c r="B48" s="130"/>
      <c r="C48" s="131" t="str">
        <f>IF(ISNUMBER(B47),"Contr. QC","")</f>
        <v>Contr. QC</v>
      </c>
      <c r="D48" s="131">
        <f>IF(ISNUMBER(B47),B47+0.2,"")</f>
        <v>8.1999999999999993</v>
      </c>
      <c r="E48" s="218"/>
      <c r="F48" s="219"/>
      <c r="G48" s="242"/>
      <c r="H48" s="219"/>
      <c r="I48" s="219"/>
      <c r="J48" s="219"/>
      <c r="K48" s="219"/>
      <c r="L48" s="149">
        <f>IF(ISNUMBER(B47),(H48-I48),"")</f>
        <v>0</v>
      </c>
      <c r="M48" s="149" t="str">
        <f t="shared" si="40"/>
        <v/>
      </c>
      <c r="N48" s="150" t="str">
        <f t="shared" si="41"/>
        <v/>
      </c>
      <c r="O48" s="149" t="str">
        <f t="shared" si="42"/>
        <v/>
      </c>
      <c r="P48" s="158" t="str">
        <f>IF(BG54&gt;0,BG54,"")</f>
        <v/>
      </c>
      <c r="Q48" s="131"/>
      <c r="R48" s="162"/>
      <c r="S48" s="162"/>
      <c r="T48" s="131"/>
      <c r="U48" s="250"/>
      <c r="V48" s="116"/>
      <c r="Z48" s="11"/>
      <c r="AA48" s="7"/>
      <c r="AB48" s="10"/>
      <c r="AC48" s="7"/>
      <c r="AD48" s="7"/>
      <c r="AE48" s="7"/>
      <c r="AF48" s="7"/>
      <c r="AH48" s="18" t="s">
        <v>204</v>
      </c>
      <c r="AI48" s="19" t="s">
        <v>146</v>
      </c>
      <c r="AJ48" s="19" t="s">
        <v>203</v>
      </c>
      <c r="AK48" s="20"/>
      <c r="AN48" s="18" t="s">
        <v>98</v>
      </c>
      <c r="AO48" s="19"/>
      <c r="AP48" s="19"/>
      <c r="AQ48" s="19"/>
      <c r="AR48" s="19" t="s">
        <v>117</v>
      </c>
      <c r="AS48" s="19"/>
      <c r="AT48" s="19"/>
      <c r="AU48" s="20"/>
      <c r="AW48" s="31"/>
      <c r="AX48" s="19" t="str">
        <f t="shared" si="55"/>
        <v>Agency QA</v>
      </c>
      <c r="AY48" s="19" t="str">
        <f t="shared" si="56"/>
        <v>6.2C</v>
      </c>
      <c r="AZ48" s="19"/>
      <c r="BA48" s="19" t="str">
        <f>N42</f>
        <v/>
      </c>
      <c r="BB48" s="19"/>
      <c r="BD48" s="19"/>
      <c r="BE48" s="19"/>
      <c r="BF48" s="19"/>
      <c r="BG48" s="19"/>
      <c r="BH48" s="19"/>
      <c r="BI48" s="32"/>
      <c r="BL48" s="18">
        <f t="shared" ref="BL48:BM57" si="57">BL16</f>
        <v>1</v>
      </c>
      <c r="BM48" s="19" t="str">
        <f t="shared" si="57"/>
        <v/>
      </c>
      <c r="BN48" s="19"/>
      <c r="BO48" s="20"/>
      <c r="CI48" s="31"/>
      <c r="CJ48" s="19">
        <f t="shared" si="43"/>
        <v>8.1999999999999993</v>
      </c>
      <c r="CK48" s="19" t="str">
        <f t="shared" si="44"/>
        <v/>
      </c>
      <c r="CL48" s="144" t="str">
        <f t="shared" si="45"/>
        <v/>
      </c>
      <c r="CM48" s="19" t="str">
        <f t="shared" si="46"/>
        <v/>
      </c>
      <c r="CN48" s="145" t="str">
        <f t="shared" si="47"/>
        <v/>
      </c>
      <c r="CO48" s="19" t="str">
        <f t="shared" si="48"/>
        <v/>
      </c>
      <c r="CP48" s="144" t="str">
        <f t="shared" si="49"/>
        <v/>
      </c>
      <c r="CQ48" s="19"/>
      <c r="CR48" s="19"/>
      <c r="CS48" s="19"/>
      <c r="CT48" s="19" t="str">
        <f>CONCATENATE("Lot ",CJ48," Gmb used:")</f>
        <v>Lot 8.2 Gmb used:</v>
      </c>
      <c r="CU48" s="19"/>
      <c r="CV48" s="32" t="str">
        <f>P48</f>
        <v/>
      </c>
      <c r="DA48" s="31">
        <v>8</v>
      </c>
      <c r="DB48" s="19"/>
      <c r="DC48" s="19"/>
      <c r="DD48" s="19"/>
      <c r="DE48" s="19"/>
      <c r="DF48" s="19"/>
      <c r="DG48" s="19"/>
      <c r="DH48" s="19"/>
      <c r="DI48" s="19"/>
      <c r="DJ48" s="19"/>
      <c r="DK48" s="19"/>
      <c r="DL48" s="19"/>
      <c r="DM48" s="32"/>
      <c r="DO48" s="31"/>
      <c r="DP48" s="19">
        <f t="shared" si="50"/>
        <v>8.1999999999999993</v>
      </c>
      <c r="DQ48" s="264" t="str">
        <f t="shared" si="52"/>
        <v/>
      </c>
      <c r="DR48" s="19" t="str">
        <f t="shared" si="54"/>
        <v/>
      </c>
      <c r="DS48" s="19"/>
      <c r="DT48" s="19"/>
      <c r="DU48" s="19"/>
      <c r="DV48" s="32"/>
    </row>
    <row r="49" spans="1:126" x14ac:dyDescent="0.25">
      <c r="A49" s="116"/>
      <c r="B49" s="130"/>
      <c r="C49" s="131" t="str">
        <f>IF(ISNUMBER(B47),"Agency QA","")</f>
        <v>Agency QA</v>
      </c>
      <c r="D49" s="131" t="str">
        <f>IF(ISNUMBER(B47),CONCATENATE(B47+0.1,"C"),"")</f>
        <v>8.1C</v>
      </c>
      <c r="E49" s="218"/>
      <c r="F49" s="219"/>
      <c r="G49" s="242"/>
      <c r="H49" s="219"/>
      <c r="I49" s="219"/>
      <c r="J49" s="219"/>
      <c r="K49" s="219"/>
      <c r="L49" s="149" t="str">
        <f>IF(ISNUMBER(B47),IF(H49="","",(H49-I49)),"")</f>
        <v/>
      </c>
      <c r="M49" s="149" t="str">
        <f t="shared" si="40"/>
        <v/>
      </c>
      <c r="N49" s="150" t="str">
        <f t="shared" si="41"/>
        <v/>
      </c>
      <c r="O49" s="149" t="str">
        <f t="shared" si="42"/>
        <v/>
      </c>
      <c r="P49" s="158"/>
      <c r="Q49" s="131" t="str">
        <f>IF(ISNUMBER(B47),IF(OR(BD53="Agency",BD54="Agency",$BG$84="Use Agency Cores"),"Agency Core(s) Used",""),"")</f>
        <v/>
      </c>
      <c r="R49" s="162"/>
      <c r="S49" s="162"/>
      <c r="T49" s="131"/>
      <c r="U49" s="250"/>
      <c r="V49" s="116"/>
      <c r="Z49" s="69" t="s">
        <v>34</v>
      </c>
      <c r="AA49" s="70"/>
      <c r="AB49" s="71"/>
      <c r="AC49" s="72" t="s">
        <v>35</v>
      </c>
      <c r="AD49" s="70"/>
      <c r="AE49" s="70"/>
      <c r="AF49" s="71"/>
      <c r="AH49" s="18" t="s">
        <v>130</v>
      </c>
      <c r="AI49" s="19" t="s">
        <v>201</v>
      </c>
      <c r="AJ49" s="19" t="s">
        <v>130</v>
      </c>
      <c r="AK49" s="20"/>
      <c r="AN49" s="18">
        <v>0</v>
      </c>
      <c r="AO49" s="19" t="s">
        <v>96</v>
      </c>
      <c r="AP49" s="19"/>
      <c r="AQ49" s="19"/>
      <c r="AR49" s="19">
        <v>0</v>
      </c>
      <c r="AS49" s="19" t="s">
        <v>96</v>
      </c>
      <c r="AT49" s="19"/>
      <c r="AU49" s="20"/>
      <c r="AW49" s="31">
        <f>B43</f>
        <v>7</v>
      </c>
      <c r="AX49" s="19" t="str">
        <f t="shared" si="55"/>
        <v>Contr. QC</v>
      </c>
      <c r="AY49" s="19">
        <f t="shared" si="56"/>
        <v>7.1</v>
      </c>
      <c r="AZ49" s="19" t="str">
        <f>N43</f>
        <v/>
      </c>
      <c r="BA49" s="19"/>
      <c r="BB49" s="19" t="str">
        <f>IF(ISNUMBER(BA51),"Yes","No")</f>
        <v>No</v>
      </c>
      <c r="BC49" t="str">
        <f>IF(BB49="Yes",IF(ABS((AZ49-BA51))&lt;=0.03,AZ49,BA51),"")</f>
        <v/>
      </c>
      <c r="BD49" t="str">
        <f>IF(BB49="Yes",IF(ABS((AZ49-BA51))&lt;=0.03,"Contractor","Agency"),"")</f>
        <v/>
      </c>
      <c r="BE49" s="19" t="str">
        <f>IF(BD49="Contractor",BC49,"")</f>
        <v/>
      </c>
      <c r="BF49" s="19" t="str">
        <f>IF(BD49="Contractor",BA51,"")</f>
        <v/>
      </c>
      <c r="BG49" s="19" t="str">
        <f>IF(AND($BG$84="Use Agency Cores",ISNUMBER(BA51)),BA51,IF(BD49="Agency",BC49,AZ49))</f>
        <v/>
      </c>
      <c r="BH49" s="19"/>
      <c r="BI49" s="32"/>
      <c r="BL49" s="18">
        <f t="shared" si="57"/>
        <v>2</v>
      </c>
      <c r="BM49" s="19" t="str">
        <f t="shared" si="57"/>
        <v/>
      </c>
      <c r="BN49" s="19"/>
      <c r="BO49" s="20"/>
      <c r="CI49" s="31"/>
      <c r="CJ49" s="19" t="str">
        <f t="shared" si="43"/>
        <v>8.1C</v>
      </c>
      <c r="CK49" s="19" t="str">
        <f t="shared" si="44"/>
        <v/>
      </c>
      <c r="CL49" s="144" t="str">
        <f t="shared" si="45"/>
        <v/>
      </c>
      <c r="CM49" s="19" t="str">
        <f t="shared" si="46"/>
        <v/>
      </c>
      <c r="CN49" s="145" t="str">
        <f t="shared" si="47"/>
        <v/>
      </c>
      <c r="CO49" s="19" t="str">
        <f t="shared" si="48"/>
        <v/>
      </c>
      <c r="CP49" s="144" t="str">
        <f t="shared" si="49"/>
        <v/>
      </c>
      <c r="CQ49" s="19"/>
      <c r="CR49" s="19"/>
      <c r="CS49" s="19"/>
      <c r="CT49" s="19"/>
      <c r="CU49" s="19" t="s">
        <v>319</v>
      </c>
      <c r="CV49" s="32" t="e">
        <f>AVERAGE(CV47:CV48)</f>
        <v>#DIV/0!</v>
      </c>
      <c r="DA49" s="31"/>
      <c r="DB49" s="19"/>
      <c r="DC49" s="19"/>
      <c r="DD49" s="19"/>
      <c r="DE49" s="19"/>
      <c r="DF49" s="19"/>
      <c r="DG49" s="19"/>
      <c r="DH49" s="19"/>
      <c r="DI49" s="19"/>
      <c r="DJ49" s="19"/>
      <c r="DK49" s="19"/>
      <c r="DL49" s="19"/>
      <c r="DM49" s="32"/>
      <c r="DO49" s="31"/>
      <c r="DP49" s="19" t="str">
        <f t="shared" si="50"/>
        <v>8.1C</v>
      </c>
      <c r="DQ49" s="264" t="str">
        <f t="shared" si="52"/>
        <v/>
      </c>
      <c r="DR49" s="19" t="str">
        <f t="shared" si="54"/>
        <v/>
      </c>
      <c r="DS49" s="19"/>
      <c r="DT49" s="19"/>
      <c r="DU49" s="19"/>
      <c r="DV49" s="32"/>
    </row>
    <row r="50" spans="1:126" ht="15.75" thickBot="1" x14ac:dyDescent="0.3">
      <c r="A50" s="116"/>
      <c r="B50" s="133"/>
      <c r="C50" s="134" t="str">
        <f>IF(ISNUMBER(B47),"Agency QA","")</f>
        <v>Agency QA</v>
      </c>
      <c r="D50" s="134" t="str">
        <f>IF(ISNUMBER(B47),CONCATENATE(B47+0.2,"C"),"")</f>
        <v>8.2C</v>
      </c>
      <c r="E50" s="220"/>
      <c r="F50" s="221"/>
      <c r="G50" s="242"/>
      <c r="H50" s="221"/>
      <c r="I50" s="221"/>
      <c r="J50" s="221"/>
      <c r="K50" s="221"/>
      <c r="L50" s="154" t="str">
        <f>IF(ISNUMBER(B47),IF(H50="","",(H50-I50)),"")</f>
        <v/>
      </c>
      <c r="M50" s="149" t="str">
        <f t="shared" si="40"/>
        <v/>
      </c>
      <c r="N50" s="150" t="str">
        <f t="shared" si="41"/>
        <v/>
      </c>
      <c r="O50" s="149" t="str">
        <f t="shared" si="42"/>
        <v/>
      </c>
      <c r="P50" s="155" t="str">
        <f>IF(ISNUMBER(P47),CV50,"")</f>
        <v/>
      </c>
      <c r="Q50" s="135" t="str">
        <f>IF(ISNUMBER(P50),"= Avg. Gmb","")</f>
        <v/>
      </c>
      <c r="R50" s="163"/>
      <c r="S50" s="282"/>
      <c r="T50" s="286"/>
      <c r="U50" s="287"/>
      <c r="V50" s="252"/>
      <c r="Z50" s="9" t="s">
        <v>36</v>
      </c>
      <c r="AA50" s="7"/>
      <c r="AC50" s="10" t="str">
        <f>IF(D12="A = PG 52-34","A",IF(D12="B = PG 58-28","B",IF(D12="C = PG 58-34","C",IF(D12="C = PG 58-34 (PMB)","C (PMB)",IF(D12="E = PG 64-28","E",IF(D12="E = PG 64-28 (PMB)","E (PMB)",IF(D12="F = PG 64-34","F",IF(D12="F = PG 64-34 (PMB)","F (PMB)",IF(D12="H = PG 70-28","H",IF(D12="H = PG 70-28 (PMB)","H (PMB)",IF(D12="I = PG 70-34","I",IF(D12="L = PG 64-22","L","M"))))))))))))</f>
        <v>C</v>
      </c>
      <c r="AD50" s="7"/>
      <c r="AE50" s="7"/>
      <c r="AH50" s="18" t="s">
        <v>205</v>
      </c>
      <c r="AI50" s="19" t="s">
        <v>202</v>
      </c>
      <c r="AJ50" s="19" t="s">
        <v>129</v>
      </c>
      <c r="AK50" s="20"/>
      <c r="AN50" s="18">
        <v>89</v>
      </c>
      <c r="AO50" s="19">
        <v>0.7</v>
      </c>
      <c r="AP50" s="19"/>
      <c r="AQ50" s="19"/>
      <c r="AR50" s="19">
        <v>89</v>
      </c>
      <c r="AS50" s="19">
        <v>0.7</v>
      </c>
      <c r="AT50" s="19"/>
      <c r="AU50" s="20"/>
      <c r="AW50" s="31"/>
      <c r="AX50" s="19" t="str">
        <f t="shared" si="55"/>
        <v>Contr. QC</v>
      </c>
      <c r="AY50" s="19">
        <f t="shared" si="56"/>
        <v>7.2</v>
      </c>
      <c r="AZ50" s="19" t="str">
        <f>N44</f>
        <v/>
      </c>
      <c r="BA50" s="19"/>
      <c r="BB50" s="19" t="str">
        <f>IF(ISNUMBER(BA52),"Yes","No")</f>
        <v>No</v>
      </c>
      <c r="BC50" t="str">
        <f>IF(BB50="Yes",IF(ABS((AZ50-BA52))&lt;=0.03,AZ50,BA52),"")</f>
        <v/>
      </c>
      <c r="BD50" t="str">
        <f>IF(BB50="Yes",IF(ABS((AZ50-BA52))&lt;=0.03,"Contractor","Agency"),"")</f>
        <v/>
      </c>
      <c r="BE50" s="19" t="str">
        <f>IF(BD50="Contractor",BC50,"")</f>
        <v/>
      </c>
      <c r="BF50" s="19" t="str">
        <f>IF(BD50="Contractor",BA52,"")</f>
        <v/>
      </c>
      <c r="BG50" s="19" t="str">
        <f>IF(AND($BG$84="Use Agency Cores",ISNUMBER(BA52)),BA52,IF(BD50="Agency",BC50,AZ50))</f>
        <v/>
      </c>
      <c r="BH50" s="19"/>
      <c r="BI50" s="32"/>
      <c r="BL50" s="18">
        <f t="shared" si="57"/>
        <v>3</v>
      </c>
      <c r="BM50" s="19" t="str">
        <f t="shared" si="57"/>
        <v/>
      </c>
      <c r="BN50" s="19"/>
      <c r="BO50" s="20"/>
      <c r="BU50" t="str">
        <f t="shared" ref="BU50:BU55" si="58">IF(ISNUMBER(BO50),IF($BM$20="Table A",BP50,IF($BM$20="Table B",BQ50,IF($BM$20="Table C",BR50,BS50))),"")</f>
        <v/>
      </c>
      <c r="CI50" s="31"/>
      <c r="CJ50" s="19" t="str">
        <f t="shared" si="43"/>
        <v>8.2C</v>
      </c>
      <c r="CK50" s="19" t="str">
        <f t="shared" si="44"/>
        <v/>
      </c>
      <c r="CL50" s="144" t="str">
        <f t="shared" si="45"/>
        <v/>
      </c>
      <c r="CM50" s="19" t="str">
        <f t="shared" si="46"/>
        <v/>
      </c>
      <c r="CN50" s="145" t="str">
        <f t="shared" si="47"/>
        <v/>
      </c>
      <c r="CO50" s="19" t="str">
        <f t="shared" si="48"/>
        <v/>
      </c>
      <c r="CP50" s="144" t="str">
        <f t="shared" si="49"/>
        <v/>
      </c>
      <c r="CQ50" s="19"/>
      <c r="CR50" s="19"/>
      <c r="CS50" s="173" t="str">
        <f>CONCATENATE("Lot ",B47)</f>
        <v>Lot 8</v>
      </c>
      <c r="CT50" s="19" t="s">
        <v>320</v>
      </c>
      <c r="CU50" s="19"/>
      <c r="CV50" s="32" t="e">
        <f>IF(ROUND((CV49*1000),0)-(CV49*1000)=0.5,IF(EVEN((CV49*1000))-(CV49*1000)=1.5,(EVEN((CV49*1000))-2)/1000,EVEN((CV49*1000))/1000),ROUND(CV49,3))</f>
        <v>#DIV/0!</v>
      </c>
      <c r="DA50" s="31"/>
      <c r="DB50" s="19"/>
      <c r="DC50" s="19"/>
      <c r="DD50" s="19"/>
      <c r="DE50" s="19"/>
      <c r="DF50" s="19"/>
      <c r="DG50" s="19"/>
      <c r="DH50" s="19"/>
      <c r="DI50" s="19"/>
      <c r="DJ50" s="19"/>
      <c r="DK50" s="19"/>
      <c r="DL50" s="19"/>
      <c r="DM50" s="32"/>
      <c r="DO50" s="31"/>
      <c r="DP50" s="19" t="str">
        <f t="shared" si="50"/>
        <v>8.2C</v>
      </c>
      <c r="DQ50" s="264" t="str">
        <f t="shared" si="52"/>
        <v/>
      </c>
      <c r="DR50" s="19" t="str">
        <f t="shared" si="54"/>
        <v/>
      </c>
      <c r="DS50" s="19"/>
      <c r="DT50" s="19"/>
      <c r="DU50" s="19"/>
      <c r="DV50" s="32"/>
    </row>
    <row r="51" spans="1:126" ht="15.75" hidden="1" thickTop="1" x14ac:dyDescent="0.25">
      <c r="A51" s="116"/>
      <c r="B51" s="128">
        <f>IF($AK$43&gt;8,B47+1,"")</f>
        <v>9</v>
      </c>
      <c r="C51" s="129" t="str">
        <f>IF(ISNUMBER(B51),"Contr. QC","")</f>
        <v>Contr. QC</v>
      </c>
      <c r="D51" s="129">
        <f>IF(ISNUMBER(B51),B51+0.1,"")</f>
        <v>9.1</v>
      </c>
      <c r="E51" s="216"/>
      <c r="F51" s="217"/>
      <c r="G51" s="239"/>
      <c r="H51" s="217"/>
      <c r="I51" s="217"/>
      <c r="J51" s="217"/>
      <c r="K51" s="217"/>
      <c r="L51" s="152">
        <f>IF(ISNUMBER(B51),(H51-I51),"")</f>
        <v>0</v>
      </c>
      <c r="M51" s="152" t="str">
        <f t="shared" si="40"/>
        <v/>
      </c>
      <c r="N51" s="153" t="str">
        <f t="shared" si="41"/>
        <v/>
      </c>
      <c r="O51" s="152" t="str">
        <f t="shared" si="42"/>
        <v/>
      </c>
      <c r="P51" s="153" t="str">
        <f>IF(BG57&gt;0,BG57,"")</f>
        <v/>
      </c>
      <c r="Q51" s="146" t="str">
        <f>CR51</f>
        <v/>
      </c>
      <c r="R51" s="161" t="str">
        <f>CC24</f>
        <v/>
      </c>
      <c r="S51" s="161" t="str">
        <f>IF(ISERR(CG24),"",CG24)</f>
        <v/>
      </c>
      <c r="T51" s="151" t="e">
        <f>DE51</f>
        <v>#VALUE!</v>
      </c>
      <c r="U51" s="284" t="str">
        <f>IF(R51="Rem/Repl","Rem/Replace",DL51)</f>
        <v/>
      </c>
      <c r="V51" s="285"/>
      <c r="Z51" s="9" t="s">
        <v>37</v>
      </c>
      <c r="AA51" s="7"/>
      <c r="AB51" s="10"/>
      <c r="AC51" s="7"/>
      <c r="AD51" s="7"/>
      <c r="AE51" s="7"/>
      <c r="AH51" s="18"/>
      <c r="AI51" s="19"/>
      <c r="AJ51" s="19"/>
      <c r="AK51" s="20"/>
      <c r="AN51" s="18">
        <v>89.2</v>
      </c>
      <c r="AO51" s="19">
        <v>0.85</v>
      </c>
      <c r="AP51" s="19"/>
      <c r="AQ51" s="19"/>
      <c r="AR51" s="19">
        <v>89.5</v>
      </c>
      <c r="AS51" s="19">
        <v>0.85</v>
      </c>
      <c r="AT51" s="19"/>
      <c r="AU51" s="20"/>
      <c r="AW51" s="31"/>
      <c r="AX51" s="19" t="str">
        <f t="shared" si="55"/>
        <v>Agency QA</v>
      </c>
      <c r="AY51" s="19" t="str">
        <f t="shared" si="56"/>
        <v>7.1C</v>
      </c>
      <c r="AZ51" s="19"/>
      <c r="BA51" s="19" t="str">
        <f>N45</f>
        <v/>
      </c>
      <c r="BB51" s="19"/>
      <c r="BD51" s="19"/>
      <c r="BE51" s="19"/>
      <c r="BF51" s="19"/>
      <c r="BG51" s="19"/>
      <c r="BH51" s="19"/>
      <c r="BI51" s="32"/>
      <c r="BL51" s="18">
        <f t="shared" si="57"/>
        <v>4</v>
      </c>
      <c r="BM51" s="19" t="str">
        <f t="shared" si="57"/>
        <v/>
      </c>
      <c r="BN51" s="19"/>
      <c r="BO51" s="20"/>
      <c r="BU51" t="str">
        <f t="shared" si="58"/>
        <v/>
      </c>
      <c r="CI51" s="31"/>
      <c r="CJ51" s="19">
        <f t="shared" si="43"/>
        <v>9.1</v>
      </c>
      <c r="CK51" s="19" t="str">
        <f t="shared" si="44"/>
        <v/>
      </c>
      <c r="CL51" s="144" t="str">
        <f t="shared" si="45"/>
        <v/>
      </c>
      <c r="CM51" s="19" t="str">
        <f t="shared" si="46"/>
        <v/>
      </c>
      <c r="CN51" s="145" t="str">
        <f t="shared" si="47"/>
        <v/>
      </c>
      <c r="CO51" s="19" t="str">
        <f t="shared" si="48"/>
        <v/>
      </c>
      <c r="CP51" s="144" t="str">
        <f t="shared" si="49"/>
        <v/>
      </c>
      <c r="CQ51" s="19" t="str">
        <f>IF(ISNUMBER(P54),(P54/$H$14)*100,"")</f>
        <v/>
      </c>
      <c r="CR51" s="144" t="str">
        <f>IF(ISNUMBER(CQ51),IF(ROUND((CQ51*10),0)-(CQ51*10)=0.5,IF(EVEN((CQ51*10))-(CQ51*10)=1.5,(EVEN((CQ51*10))-2)/10,EVEN((CQ51*10))/10),ROUND(CQ51,1)),"")</f>
        <v/>
      </c>
      <c r="CS51" s="19"/>
      <c r="CT51" s="19" t="str">
        <f>CONCATENATE("Lot ",CJ51," Gmb used:")</f>
        <v>Lot 9.1 Gmb used:</v>
      </c>
      <c r="CU51" s="19"/>
      <c r="CV51" s="32" t="str">
        <f>P51</f>
        <v/>
      </c>
      <c r="DA51" s="31"/>
      <c r="DB51" s="168">
        <f>B51</f>
        <v>9</v>
      </c>
      <c r="DC51" s="168" t="e">
        <f>IF(ISNUMBER(DB51),$AK$18,"")</f>
        <v>#VALUE!</v>
      </c>
      <c r="DD51" s="168" t="str">
        <f>IF(ISNUMBER(DB51),IF($DE$10="Sq Yd inch",$P$3/$DE$11,""),"")</f>
        <v/>
      </c>
      <c r="DE51" s="168" t="e">
        <f>IF($DE$10="Tons",DC51,DD51)</f>
        <v>#VALUE!</v>
      </c>
      <c r="DF51" s="203" t="str">
        <f>R51</f>
        <v/>
      </c>
      <c r="DG51" s="203" t="str">
        <f>S51</f>
        <v/>
      </c>
      <c r="DH51" s="168" t="str">
        <f>IF(ISNUMBER(DC51),IF(ISNUMBER(DG51),(DG51-1)*DC51*$DE$12,(DF51-1)*DC51*$DE$12),"")</f>
        <v/>
      </c>
      <c r="DI51" s="205" t="str">
        <f>IF(ISNUMBER(DH51),IF(ROUND((DH51*100),0)-(DH51*100)=0.5,IF(EVEN((DH51*100))-(DH51*100)=1.5,(EVEN((DH51*100))-2)/100,EVEN((DH51*100))/100),ROUND(DH51,2)),"")</f>
        <v/>
      </c>
      <c r="DJ51" s="168" t="str">
        <f>IF(ISNUMBER(DD51),IF(ISNUMBER(DG51),(DG51-1)*DE51*$DE$12,(DF51-1)*DE51*$DE$12),"")</f>
        <v/>
      </c>
      <c r="DK51" s="205" t="str">
        <f>IF(ISNUMBER(DJ51),IF(ROUND((DJ51*100),0)-(DJ51*100)=0.5,IF(EVEN((DJ51*100))-(DJ51*100)=1.5,(EVEN((DJ51*100))-2)/100,EVEN((DJ51*100))/100),ROUND(DJ51,2)),"")</f>
        <v/>
      </c>
      <c r="DL51" s="168" t="str">
        <f>IF($DE$10="Tons",DI51,DK51)</f>
        <v/>
      </c>
      <c r="DM51" s="182"/>
      <c r="DO51" s="31"/>
      <c r="DP51" s="19">
        <f t="shared" si="50"/>
        <v>9.1</v>
      </c>
      <c r="DQ51" s="264" t="str">
        <f t="shared" si="52"/>
        <v/>
      </c>
      <c r="DR51" s="19" t="str">
        <f t="shared" si="54"/>
        <v/>
      </c>
      <c r="DS51" s="19">
        <f>IF(OR(DR51="Yes",DR52="Yes",DR53="Yes",DR54="Yes"),"Engr Decision",0.7)</f>
        <v>0.7</v>
      </c>
      <c r="DT51" s="19">
        <f>V51</f>
        <v>0</v>
      </c>
      <c r="DU51" s="19">
        <f>IF(DS51="Engr Decision",IF(DT51="Yes",0.5,"Rem/Repl"),DS51)</f>
        <v>0.7</v>
      </c>
      <c r="DV51" s="32"/>
    </row>
    <row r="52" spans="1:126" hidden="1" x14ac:dyDescent="0.25">
      <c r="A52" s="116"/>
      <c r="B52" s="130"/>
      <c r="C52" s="131" t="str">
        <f>IF(ISNUMBER(B51),"Contr. QC","")</f>
        <v>Contr. QC</v>
      </c>
      <c r="D52" s="131">
        <f>IF(ISNUMBER(B51),B51+0.2,"")</f>
        <v>9.1999999999999993</v>
      </c>
      <c r="E52" s="218"/>
      <c r="F52" s="219"/>
      <c r="G52" s="240"/>
      <c r="H52" s="219"/>
      <c r="I52" s="219"/>
      <c r="J52" s="219"/>
      <c r="K52" s="219"/>
      <c r="L52" s="149">
        <f>IF(ISNUMBER(B51),(H52-I52),"")</f>
        <v>0</v>
      </c>
      <c r="M52" s="149" t="str">
        <f t="shared" si="40"/>
        <v/>
      </c>
      <c r="N52" s="150" t="str">
        <f t="shared" si="41"/>
        <v/>
      </c>
      <c r="O52" s="149" t="str">
        <f t="shared" si="42"/>
        <v/>
      </c>
      <c r="P52" s="158" t="str">
        <f>IF(BG58&gt;0,BG58,"")</f>
        <v/>
      </c>
      <c r="Q52" s="131"/>
      <c r="R52" s="162"/>
      <c r="S52" s="162"/>
      <c r="T52" s="131"/>
      <c r="U52" s="250"/>
      <c r="V52" s="116"/>
      <c r="Z52" s="9" t="s">
        <v>38</v>
      </c>
      <c r="AA52" s="7"/>
      <c r="AB52" s="10"/>
      <c r="AC52" s="7"/>
      <c r="AD52" s="7"/>
      <c r="AE52" s="7"/>
      <c r="AH52" s="18" t="str">
        <f>AD86</f>
        <v>Yes</v>
      </c>
      <c r="AI52" s="19">
        <f>AI16</f>
        <v>0</v>
      </c>
      <c r="AJ52" s="19">
        <f>IF(AH52="Yes",IF(AI52&gt;5000,2,1),0)</f>
        <v>1</v>
      </c>
      <c r="AK52" s="20"/>
      <c r="AN52" s="18">
        <v>89.4</v>
      </c>
      <c r="AO52" s="19">
        <v>0.91</v>
      </c>
      <c r="AP52" s="19"/>
      <c r="AQ52" s="19"/>
      <c r="AR52" s="19">
        <v>90</v>
      </c>
      <c r="AS52" s="19">
        <v>0.91</v>
      </c>
      <c r="AT52" s="19"/>
      <c r="AU52" s="20"/>
      <c r="AW52" s="31"/>
      <c r="AX52" s="19" t="str">
        <f t="shared" si="55"/>
        <v>Agency QA</v>
      </c>
      <c r="AY52" s="19" t="str">
        <f t="shared" si="56"/>
        <v>7.2C</v>
      </c>
      <c r="AZ52" s="19"/>
      <c r="BA52" s="19" t="str">
        <f>N46</f>
        <v/>
      </c>
      <c r="BB52" s="19"/>
      <c r="BD52" s="19"/>
      <c r="BE52" s="19"/>
      <c r="BF52" s="19"/>
      <c r="BG52" s="19"/>
      <c r="BH52" s="19"/>
      <c r="BI52" s="32"/>
      <c r="BL52" s="18">
        <f t="shared" si="57"/>
        <v>5</v>
      </c>
      <c r="BM52" s="19" t="str">
        <f t="shared" si="57"/>
        <v/>
      </c>
      <c r="BN52" s="19"/>
      <c r="BO52" s="20"/>
      <c r="BU52" t="str">
        <f t="shared" si="58"/>
        <v/>
      </c>
      <c r="CI52" s="31"/>
      <c r="CJ52" s="19">
        <f t="shared" si="43"/>
        <v>9.1999999999999993</v>
      </c>
      <c r="CK52" s="19" t="str">
        <f t="shared" si="44"/>
        <v/>
      </c>
      <c r="CL52" s="144" t="str">
        <f t="shared" si="45"/>
        <v/>
      </c>
      <c r="CM52" s="19" t="str">
        <f t="shared" si="46"/>
        <v/>
      </c>
      <c r="CN52" s="145" t="str">
        <f t="shared" si="47"/>
        <v/>
      </c>
      <c r="CO52" s="19" t="str">
        <f t="shared" si="48"/>
        <v/>
      </c>
      <c r="CP52" s="144" t="str">
        <f t="shared" si="49"/>
        <v/>
      </c>
      <c r="CQ52" s="19"/>
      <c r="CR52" s="19"/>
      <c r="CS52" s="19"/>
      <c r="CT52" s="19" t="str">
        <f>CONCATENATE("Lot ",CJ52," Gmb used:")</f>
        <v>Lot 9.2 Gmb used:</v>
      </c>
      <c r="CU52" s="19"/>
      <c r="CV52" s="32" t="str">
        <f>P52</f>
        <v/>
      </c>
      <c r="DA52" s="31">
        <v>9</v>
      </c>
      <c r="DB52" s="19"/>
      <c r="DC52" s="19"/>
      <c r="DD52" s="19"/>
      <c r="DE52" s="19"/>
      <c r="DF52" s="19"/>
      <c r="DG52" s="19"/>
      <c r="DH52" s="19"/>
      <c r="DI52" s="19"/>
      <c r="DJ52" s="19"/>
      <c r="DK52" s="19"/>
      <c r="DL52" s="19"/>
      <c r="DM52" s="32"/>
      <c r="DO52" s="31"/>
      <c r="DP52" s="19">
        <f t="shared" si="50"/>
        <v>9.1999999999999993</v>
      </c>
      <c r="DQ52" s="264" t="str">
        <f t="shared" si="52"/>
        <v/>
      </c>
      <c r="DR52" s="19" t="str">
        <f t="shared" si="54"/>
        <v/>
      </c>
      <c r="DS52" s="19"/>
      <c r="DT52" s="19"/>
      <c r="DU52" s="19"/>
      <c r="DV52" s="32"/>
    </row>
    <row r="53" spans="1:126" hidden="1" x14ac:dyDescent="0.25">
      <c r="A53" s="116"/>
      <c r="B53" s="130"/>
      <c r="C53" s="131" t="str">
        <f>IF(ISNUMBER(B51),"Agency QA","")</f>
        <v>Agency QA</v>
      </c>
      <c r="D53" s="131" t="str">
        <f>IF(ISNUMBER(B51),CONCATENATE(B51+0.1,"C"),"")</f>
        <v>9.1C</v>
      </c>
      <c r="E53" s="218"/>
      <c r="F53" s="219"/>
      <c r="G53" s="240"/>
      <c r="H53" s="219"/>
      <c r="I53" s="219"/>
      <c r="J53" s="219"/>
      <c r="K53" s="219"/>
      <c r="L53" s="149" t="str">
        <f>IF(ISNUMBER(B51),IF(H53="","",(H53-I53)),"")</f>
        <v/>
      </c>
      <c r="M53" s="149" t="str">
        <f t="shared" si="40"/>
        <v/>
      </c>
      <c r="N53" s="150" t="str">
        <f t="shared" si="41"/>
        <v/>
      </c>
      <c r="O53" s="149" t="str">
        <f t="shared" si="42"/>
        <v/>
      </c>
      <c r="P53" s="158"/>
      <c r="Q53" s="131" t="str">
        <f>IF(ISNUMBER(B51),IF(OR(BD57="Agency",BD58="Agency",$BG$84="Use Agency Cores"),"Agency Core(s) Used",""),"")</f>
        <v/>
      </c>
      <c r="R53" s="162"/>
      <c r="S53" s="162"/>
      <c r="T53" s="131"/>
      <c r="U53" s="250"/>
      <c r="V53" s="116"/>
      <c r="Z53" s="9" t="s">
        <v>459</v>
      </c>
      <c r="AA53" s="7"/>
      <c r="AB53" s="10"/>
      <c r="AC53" s="7"/>
      <c r="AD53" s="7"/>
      <c r="AE53" s="7"/>
      <c r="AH53" s="18"/>
      <c r="AI53" s="19"/>
      <c r="AJ53" s="19"/>
      <c r="AK53" s="20"/>
      <c r="AN53" s="18">
        <v>89.7</v>
      </c>
      <c r="AO53" s="19">
        <v>0.95</v>
      </c>
      <c r="AP53" s="19"/>
      <c r="AQ53" s="19"/>
      <c r="AR53" s="19">
        <v>90.5</v>
      </c>
      <c r="AS53" s="19">
        <v>0.95</v>
      </c>
      <c r="AT53" s="19"/>
      <c r="AU53" s="20"/>
      <c r="AW53" s="31">
        <f>B47</f>
        <v>8</v>
      </c>
      <c r="AX53" s="19" t="str">
        <f t="shared" si="55"/>
        <v>Contr. QC</v>
      </c>
      <c r="AY53" s="19">
        <f t="shared" si="56"/>
        <v>8.1</v>
      </c>
      <c r="AZ53" s="19" t="str">
        <f>N47</f>
        <v/>
      </c>
      <c r="BA53" s="19"/>
      <c r="BB53" s="19" t="str">
        <f>IF(ISNUMBER(BA55),"Yes","No")</f>
        <v>No</v>
      </c>
      <c r="BC53" t="str">
        <f>IF(BB53="Yes",IF(ABS((AZ53-BA55))&lt;=0.03,AZ53,BA55),"")</f>
        <v/>
      </c>
      <c r="BD53" t="str">
        <f>IF(BB53="Yes",IF(ABS((AZ53-BA55))&lt;=0.03,"Contractor","Agency"),"")</f>
        <v/>
      </c>
      <c r="BE53" s="19" t="str">
        <f>IF(BD53="Contractor",BC53,"")</f>
        <v/>
      </c>
      <c r="BF53" s="19" t="str">
        <f>IF(BD53="Contractor",BA55,"")</f>
        <v/>
      </c>
      <c r="BG53" s="19" t="str">
        <f>IF(AND($BG$84="Use Agency Cores",ISNUMBER(BA55)),BA55,IF(BD53="Agency",BC53,AZ53))</f>
        <v/>
      </c>
      <c r="BH53" s="19"/>
      <c r="BI53" s="32"/>
      <c r="BL53" s="18">
        <f t="shared" si="57"/>
        <v>6</v>
      </c>
      <c r="BM53" s="19" t="str">
        <f t="shared" si="57"/>
        <v/>
      </c>
      <c r="BN53" s="19"/>
      <c r="BO53" s="20"/>
      <c r="BU53" t="str">
        <f t="shared" si="58"/>
        <v/>
      </c>
      <c r="CI53" s="31"/>
      <c r="CJ53" s="19" t="str">
        <f t="shared" si="43"/>
        <v>9.1C</v>
      </c>
      <c r="CK53" s="19" t="str">
        <f t="shared" si="44"/>
        <v/>
      </c>
      <c r="CL53" s="144" t="str">
        <f t="shared" si="45"/>
        <v/>
      </c>
      <c r="CM53" s="19" t="str">
        <f t="shared" si="46"/>
        <v/>
      </c>
      <c r="CN53" s="145" t="str">
        <f t="shared" si="47"/>
        <v/>
      </c>
      <c r="CO53" s="19" t="str">
        <f t="shared" si="48"/>
        <v/>
      </c>
      <c r="CP53" s="144" t="str">
        <f t="shared" si="49"/>
        <v/>
      </c>
      <c r="CQ53" s="19"/>
      <c r="CR53" s="19"/>
      <c r="CS53" s="19"/>
      <c r="CT53" s="19"/>
      <c r="CU53" s="19" t="s">
        <v>319</v>
      </c>
      <c r="CV53" s="32" t="e">
        <f>AVERAGE(CV51:CV52)</f>
        <v>#DIV/0!</v>
      </c>
      <c r="DA53" s="31"/>
      <c r="DB53" s="19"/>
      <c r="DC53" s="19"/>
      <c r="DD53" s="19"/>
      <c r="DE53" s="19"/>
      <c r="DF53" s="19"/>
      <c r="DG53" s="19"/>
      <c r="DH53" s="19"/>
      <c r="DI53" s="19"/>
      <c r="DJ53" s="19"/>
      <c r="DK53" s="19"/>
      <c r="DL53" s="19"/>
      <c r="DM53" s="32"/>
      <c r="DO53" s="31"/>
      <c r="DP53" s="19" t="str">
        <f t="shared" si="50"/>
        <v>9.1C</v>
      </c>
      <c r="DQ53" s="264" t="str">
        <f t="shared" si="52"/>
        <v/>
      </c>
      <c r="DR53" s="19" t="str">
        <f t="shared" si="54"/>
        <v/>
      </c>
      <c r="DS53" s="19"/>
      <c r="DT53" s="19"/>
      <c r="DU53" s="19"/>
      <c r="DV53" s="32"/>
    </row>
    <row r="54" spans="1:126" ht="15.75" hidden="1" thickBot="1" x14ac:dyDescent="0.3">
      <c r="A54" s="116"/>
      <c r="B54" s="130"/>
      <c r="C54" s="131" t="str">
        <f>IF(ISNUMBER(B51),"Agency QA","")</f>
        <v>Agency QA</v>
      </c>
      <c r="D54" s="131" t="str">
        <f>IF(ISNUMBER(B51),CONCATENATE(B51+0.2,"C"),"")</f>
        <v>9.2C</v>
      </c>
      <c r="E54" s="218"/>
      <c r="F54" s="219"/>
      <c r="G54" s="241"/>
      <c r="H54" s="219"/>
      <c r="I54" s="219"/>
      <c r="J54" s="219"/>
      <c r="K54" s="219"/>
      <c r="L54" s="149" t="str">
        <f>IF(ISNUMBER(B51),IF(H54="","",(H54-I54)),"")</f>
        <v/>
      </c>
      <c r="M54" s="154" t="str">
        <f t="shared" si="40"/>
        <v/>
      </c>
      <c r="N54" s="155" t="str">
        <f t="shared" si="41"/>
        <v/>
      </c>
      <c r="O54" s="154" t="str">
        <f t="shared" si="42"/>
        <v/>
      </c>
      <c r="P54" s="158" t="str">
        <f>IF(ISNUMBER(P51),CV54,"")</f>
        <v/>
      </c>
      <c r="Q54" s="132" t="str">
        <f>IF(ISNUMBER(P54),"= Avg. Gmb","")</f>
        <v/>
      </c>
      <c r="R54" s="162"/>
      <c r="S54" s="282"/>
      <c r="T54" s="286"/>
      <c r="U54" s="287"/>
      <c r="V54" s="252"/>
      <c r="Z54" s="9" t="s">
        <v>39</v>
      </c>
      <c r="AA54" s="7"/>
      <c r="AB54" s="10"/>
      <c r="AC54" s="7"/>
      <c r="AD54" s="7"/>
      <c r="AE54" s="7"/>
      <c r="AH54" s="24"/>
      <c r="AI54" s="25"/>
      <c r="AJ54" s="25"/>
      <c r="AK54" s="26"/>
      <c r="AN54" s="18">
        <v>90</v>
      </c>
      <c r="AO54" s="19">
        <v>0.98</v>
      </c>
      <c r="AP54" s="19"/>
      <c r="AQ54" s="19"/>
      <c r="AR54" s="19">
        <v>91</v>
      </c>
      <c r="AS54" s="19">
        <v>0.98</v>
      </c>
      <c r="AT54" s="19"/>
      <c r="AU54" s="20"/>
      <c r="AW54" s="31"/>
      <c r="AX54" s="19" t="str">
        <f t="shared" si="55"/>
        <v>Contr. QC</v>
      </c>
      <c r="AY54" s="19">
        <f t="shared" si="56"/>
        <v>8.1999999999999993</v>
      </c>
      <c r="AZ54" s="19" t="str">
        <f>N48</f>
        <v/>
      </c>
      <c r="BA54" s="19"/>
      <c r="BB54" s="19" t="str">
        <f>IF(ISNUMBER(BA56),"Yes","No")</f>
        <v>No</v>
      </c>
      <c r="BC54" t="str">
        <f>IF(BB54="Yes",IF(ABS((AZ54-BA56))&lt;=0.03,AZ54,BA56),"")</f>
        <v/>
      </c>
      <c r="BD54" t="str">
        <f>IF(BB54="Yes",IF(ABS((AZ54-BA56))&lt;=0.03,"Contractor","Agency"),"")</f>
        <v/>
      </c>
      <c r="BE54" s="19" t="str">
        <f>IF(BD54="Contractor",BC54,"")</f>
        <v/>
      </c>
      <c r="BF54" s="19" t="str">
        <f>IF(BD54="Contractor",BA56,"")</f>
        <v/>
      </c>
      <c r="BG54" s="19" t="str">
        <f>IF(AND($BG$84="Use Agency Cores",ISNUMBER(BA56)),BA56,IF(BD54="Agency",BC54,AZ54))</f>
        <v/>
      </c>
      <c r="BH54" s="19"/>
      <c r="BI54" s="32"/>
      <c r="BL54" s="18">
        <f t="shared" si="57"/>
        <v>7</v>
      </c>
      <c r="BM54" s="19" t="str">
        <f t="shared" si="57"/>
        <v/>
      </c>
      <c r="BN54" s="19"/>
      <c r="BO54" s="20"/>
      <c r="BU54" t="str">
        <f t="shared" si="58"/>
        <v/>
      </c>
      <c r="CI54" s="31"/>
      <c r="CJ54" s="19" t="str">
        <f t="shared" si="43"/>
        <v>9.2C</v>
      </c>
      <c r="CK54" s="19" t="str">
        <f t="shared" si="44"/>
        <v/>
      </c>
      <c r="CL54" s="144" t="str">
        <f t="shared" si="45"/>
        <v/>
      </c>
      <c r="CM54" s="19" t="str">
        <f t="shared" si="46"/>
        <v/>
      </c>
      <c r="CN54" s="145" t="str">
        <f t="shared" si="47"/>
        <v/>
      </c>
      <c r="CO54" s="19" t="str">
        <f t="shared" si="48"/>
        <v/>
      </c>
      <c r="CP54" s="144" t="str">
        <f t="shared" si="49"/>
        <v/>
      </c>
      <c r="CQ54" s="19"/>
      <c r="CR54" s="19"/>
      <c r="CS54" s="173" t="str">
        <f>CONCATENATE("Lot ",B51)</f>
        <v>Lot 9</v>
      </c>
      <c r="CT54" s="19" t="s">
        <v>320</v>
      </c>
      <c r="CU54" s="19"/>
      <c r="CV54" s="32" t="e">
        <f>IF(ROUND((CV53*1000),0)-(CV53*1000)=0.5,IF(EVEN((CV53*1000))-(CV53*1000)=1.5,(EVEN((CV53*1000))-2)/1000,EVEN((CV53*1000))/1000),ROUND(CV53,3))</f>
        <v>#DIV/0!</v>
      </c>
      <c r="DA54" s="31"/>
      <c r="DB54" s="35"/>
      <c r="DC54" s="35"/>
      <c r="DD54" s="35"/>
      <c r="DE54" s="35"/>
      <c r="DF54" s="35"/>
      <c r="DG54" s="35"/>
      <c r="DH54" s="35"/>
      <c r="DI54" s="35"/>
      <c r="DJ54" s="35"/>
      <c r="DK54" s="35"/>
      <c r="DL54" s="35"/>
      <c r="DM54" s="36"/>
      <c r="DO54" s="31"/>
      <c r="DP54" s="19" t="str">
        <f t="shared" si="50"/>
        <v>9.2C</v>
      </c>
      <c r="DQ54" s="264" t="str">
        <f t="shared" si="52"/>
        <v/>
      </c>
      <c r="DR54" s="19" t="str">
        <f t="shared" si="54"/>
        <v/>
      </c>
      <c r="DS54" s="19"/>
      <c r="DT54" s="19"/>
      <c r="DU54" s="19"/>
      <c r="DV54" s="32"/>
    </row>
    <row r="55" spans="1:126" ht="15.75" hidden="1" thickTop="1" x14ac:dyDescent="0.25">
      <c r="A55" s="116"/>
      <c r="B55" s="128">
        <f>IF($AK$43&gt;9,B51+1,"")</f>
        <v>10</v>
      </c>
      <c r="C55" s="129" t="str">
        <f>IF(ISNUMBER(B55),"Contr. QC","")</f>
        <v>Contr. QC</v>
      </c>
      <c r="D55" s="129">
        <f>IF(ISNUMBER(B55),B55+0.1,"")</f>
        <v>10.1</v>
      </c>
      <c r="E55" s="216"/>
      <c r="F55" s="217"/>
      <c r="G55" s="242"/>
      <c r="H55" s="217"/>
      <c r="I55" s="217"/>
      <c r="J55" s="217"/>
      <c r="K55" s="217"/>
      <c r="L55" s="152">
        <f>IF(ISNUMBER(B55),(H55-I55),"")</f>
        <v>0</v>
      </c>
      <c r="M55" s="152" t="str">
        <f t="shared" si="40"/>
        <v/>
      </c>
      <c r="N55" s="153" t="str">
        <f t="shared" si="41"/>
        <v/>
      </c>
      <c r="O55" s="152" t="str">
        <f t="shared" si="42"/>
        <v/>
      </c>
      <c r="P55" s="153" t="str">
        <f>IF(BG61&gt;0,BG61,"")</f>
        <v/>
      </c>
      <c r="Q55" s="146" t="str">
        <f>CR55</f>
        <v/>
      </c>
      <c r="R55" s="161" t="str">
        <f>CC25</f>
        <v/>
      </c>
      <c r="S55" s="161" t="str">
        <f>IF(ISERR(CG25),"",CG25)</f>
        <v/>
      </c>
      <c r="T55" s="151" t="e">
        <f>DE55</f>
        <v>#VALUE!</v>
      </c>
      <c r="U55" s="284" t="str">
        <f>IF(R55="Rem/Repl","Rem/Replace",DL55)</f>
        <v/>
      </c>
      <c r="V55" s="285"/>
      <c r="W55" s="252"/>
      <c r="Z55" s="9" t="s">
        <v>456</v>
      </c>
      <c r="AA55" s="7"/>
      <c r="AB55" s="10"/>
      <c r="AC55" s="7"/>
      <c r="AD55" s="7"/>
      <c r="AE55" s="7"/>
      <c r="AN55" s="18">
        <v>91</v>
      </c>
      <c r="AO55" s="19">
        <v>1</v>
      </c>
      <c r="AP55" s="19"/>
      <c r="AQ55" s="19"/>
      <c r="AR55" s="19">
        <v>92</v>
      </c>
      <c r="AS55" s="19">
        <v>1</v>
      </c>
      <c r="AT55" s="19"/>
      <c r="AU55" s="20"/>
      <c r="AW55" s="31"/>
      <c r="AX55" s="19" t="str">
        <f t="shared" si="55"/>
        <v>Agency QA</v>
      </c>
      <c r="AY55" s="19" t="str">
        <f t="shared" si="56"/>
        <v>8.1C</v>
      </c>
      <c r="AZ55" s="19"/>
      <c r="BA55" s="19" t="str">
        <f>N49</f>
        <v/>
      </c>
      <c r="BB55" s="19"/>
      <c r="BD55" s="19"/>
      <c r="BE55" s="19"/>
      <c r="BF55" s="19"/>
      <c r="BG55" s="19"/>
      <c r="BH55" s="19"/>
      <c r="BI55" s="32"/>
      <c r="BL55" s="18">
        <f t="shared" si="57"/>
        <v>8</v>
      </c>
      <c r="BM55" s="19" t="str">
        <f t="shared" si="57"/>
        <v/>
      </c>
      <c r="BN55" s="19"/>
      <c r="BO55" s="20"/>
      <c r="BU55" t="str">
        <f t="shared" si="58"/>
        <v/>
      </c>
      <c r="CI55" s="31"/>
      <c r="CJ55" s="19">
        <f t="shared" si="43"/>
        <v>10.1</v>
      </c>
      <c r="CK55" s="19" t="str">
        <f t="shared" si="44"/>
        <v/>
      </c>
      <c r="CL55" s="144" t="str">
        <f t="shared" si="45"/>
        <v/>
      </c>
      <c r="CM55" s="19" t="str">
        <f t="shared" si="46"/>
        <v/>
      </c>
      <c r="CN55" s="145" t="str">
        <f t="shared" si="47"/>
        <v/>
      </c>
      <c r="CO55" s="19" t="str">
        <f t="shared" si="48"/>
        <v/>
      </c>
      <c r="CP55" s="144" t="str">
        <f t="shared" si="49"/>
        <v/>
      </c>
      <c r="CQ55" s="19" t="str">
        <f>IF(ISNUMBER(P58),(P58/$H$14)*100,"")</f>
        <v/>
      </c>
      <c r="CR55" s="144" t="str">
        <f>IF(ISNUMBER(CQ55),IF(ROUND((CQ55*10),0)-(CQ55*10)=0.5,IF(EVEN((CQ55*10))-(CQ55*10)=1.5,(EVEN((CQ55*10))-2)/10,EVEN((CQ55*10))/10),ROUND(CQ55,1)),"")</f>
        <v/>
      </c>
      <c r="CS55" s="19"/>
      <c r="CT55" s="19" t="str">
        <f>CONCATENATE("Lot ",CJ55," Gmb used:")</f>
        <v>Lot 10.1 Gmb used:</v>
      </c>
      <c r="CU55" s="19"/>
      <c r="CV55" s="32" t="str">
        <f>P55</f>
        <v/>
      </c>
      <c r="DA55" s="31"/>
      <c r="DB55" s="19">
        <f>B55</f>
        <v>10</v>
      </c>
      <c r="DC55" s="168" t="e">
        <f>IF(ISNUMBER(DB55),$AK$18,"")</f>
        <v>#VALUE!</v>
      </c>
      <c r="DD55" s="168" t="str">
        <f>IF(ISNUMBER(DB55),IF($DE$10="Sq Yd inch",$P$3/$DE$11,""),"")</f>
        <v/>
      </c>
      <c r="DE55" s="168" t="e">
        <f>IF($DE$10="Tons",DC55,DD55)</f>
        <v>#VALUE!</v>
      </c>
      <c r="DF55" s="203" t="str">
        <f>R55</f>
        <v/>
      </c>
      <c r="DG55" s="203" t="str">
        <f>S55</f>
        <v/>
      </c>
      <c r="DH55" s="168" t="str">
        <f>IF(ISNUMBER(DC55),IF(ISNUMBER(DG55),(DG55-1)*DC55*$DE$12,(DF55-1)*DC55*$DE$12),"")</f>
        <v/>
      </c>
      <c r="DI55" s="205" t="str">
        <f>IF(ISNUMBER(DH55),IF(ROUND((DH55*100),0)-(DH55*100)=0.5,IF(EVEN((DH55*100))-(DH55*100)=1.5,(EVEN((DH55*100))-2)/100,EVEN((DH55*100))/100),ROUND(DH55,2)),"")</f>
        <v/>
      </c>
      <c r="DJ55" s="168" t="str">
        <f>IF(ISNUMBER(DD55),IF(ISNUMBER(DG55),(DG55-1)*DE55*$DE$12,(DF55-1)*DE55*$DE$12),"")</f>
        <v/>
      </c>
      <c r="DK55" s="205" t="str">
        <f>IF(ISNUMBER(DJ55),IF(ROUND((DJ55*100),0)-(DJ55*100)=0.5,IF(EVEN((DJ55*100))-(DJ55*100)=1.5,(EVEN((DJ55*100))-2)/100,EVEN((DJ55*100))/100),ROUND(DJ55,2)),"")</f>
        <v/>
      </c>
      <c r="DL55" s="168" t="str">
        <f>IF($DE$10="Tons",DI55,DK55)</f>
        <v/>
      </c>
      <c r="DM55" s="32"/>
      <c r="DO55" s="31"/>
      <c r="DP55" s="19">
        <f t="shared" si="50"/>
        <v>10.1</v>
      </c>
      <c r="DQ55" s="264" t="str">
        <f t="shared" si="52"/>
        <v/>
      </c>
      <c r="DR55" s="19" t="str">
        <f t="shared" si="54"/>
        <v/>
      </c>
      <c r="DS55" s="19">
        <f>IF(OR(DR55="Yes",DR56="Yes",DR57="Yes",DR58="Yes"),"Engr Decision",0.7)</f>
        <v>0.7</v>
      </c>
      <c r="DT55" s="19">
        <f>V55</f>
        <v>0</v>
      </c>
      <c r="DU55" s="19">
        <f>IF(DS55="Engr Decision",IF(DT55="Yes",0.5,"Rem/Repl"),DS55)</f>
        <v>0.7</v>
      </c>
      <c r="DV55" s="32"/>
    </row>
    <row r="56" spans="1:126" hidden="1" x14ac:dyDescent="0.25">
      <c r="A56" s="116"/>
      <c r="B56" s="130"/>
      <c r="C56" s="131" t="str">
        <f>IF(ISNUMBER(B55),"Contr. QC","")</f>
        <v>Contr. QC</v>
      </c>
      <c r="D56" s="131">
        <f>IF(ISNUMBER(B55),B55+0.2,"")</f>
        <v>10.199999999999999</v>
      </c>
      <c r="E56" s="218"/>
      <c r="F56" s="219"/>
      <c r="G56" s="242"/>
      <c r="H56" s="219"/>
      <c r="I56" s="219"/>
      <c r="J56" s="219"/>
      <c r="K56" s="219"/>
      <c r="L56" s="149">
        <f>IF(ISNUMBER(B55),(H56-I56),"")</f>
        <v>0</v>
      </c>
      <c r="M56" s="149" t="str">
        <f t="shared" si="40"/>
        <v/>
      </c>
      <c r="N56" s="150" t="str">
        <f t="shared" si="41"/>
        <v/>
      </c>
      <c r="O56" s="149" t="str">
        <f t="shared" si="42"/>
        <v/>
      </c>
      <c r="P56" s="158" t="str">
        <f>IF(BG62&gt;0,BG62,"")</f>
        <v/>
      </c>
      <c r="Q56" s="131"/>
      <c r="R56" s="162"/>
      <c r="S56" s="162"/>
      <c r="T56" s="131"/>
      <c r="U56" s="250"/>
      <c r="V56" s="116"/>
      <c r="Z56" s="9" t="s">
        <v>40</v>
      </c>
      <c r="AA56" s="7"/>
      <c r="AB56" s="10"/>
      <c r="AC56" s="7"/>
      <c r="AD56" s="7"/>
      <c r="AE56" s="7"/>
      <c r="AN56" s="18"/>
      <c r="AO56" s="19"/>
      <c r="AP56" s="19"/>
      <c r="AQ56" s="19"/>
      <c r="AR56" s="19"/>
      <c r="AS56" s="19"/>
      <c r="AT56" s="19"/>
      <c r="AU56" s="20"/>
      <c r="AW56" s="31"/>
      <c r="AX56" s="19" t="str">
        <f t="shared" si="55"/>
        <v>Agency QA</v>
      </c>
      <c r="AY56" s="19" t="str">
        <f t="shared" si="56"/>
        <v>8.2C</v>
      </c>
      <c r="AZ56" s="19"/>
      <c r="BA56" s="19" t="str">
        <f>N50</f>
        <v/>
      </c>
      <c r="BB56" s="19"/>
      <c r="BD56" s="19"/>
      <c r="BE56" s="19"/>
      <c r="BF56" s="19"/>
      <c r="BG56" s="19"/>
      <c r="BH56" s="19"/>
      <c r="BI56" s="32"/>
      <c r="BL56" s="18">
        <f t="shared" si="57"/>
        <v>9</v>
      </c>
      <c r="BM56" s="19" t="str">
        <f t="shared" si="57"/>
        <v/>
      </c>
      <c r="BN56" s="19"/>
      <c r="BO56" s="20"/>
      <c r="CI56" s="31"/>
      <c r="CJ56" s="19">
        <f t="shared" si="43"/>
        <v>10.199999999999999</v>
      </c>
      <c r="CK56" s="19" t="str">
        <f t="shared" si="44"/>
        <v/>
      </c>
      <c r="CL56" s="144" t="str">
        <f t="shared" si="45"/>
        <v/>
      </c>
      <c r="CM56" s="19" t="str">
        <f t="shared" si="46"/>
        <v/>
      </c>
      <c r="CN56" s="145" t="str">
        <f t="shared" si="47"/>
        <v/>
      </c>
      <c r="CO56" s="19" t="str">
        <f t="shared" si="48"/>
        <v/>
      </c>
      <c r="CP56" s="144" t="str">
        <f t="shared" si="49"/>
        <v/>
      </c>
      <c r="CQ56" s="19"/>
      <c r="CR56" s="19"/>
      <c r="CS56" s="19"/>
      <c r="CT56" s="19" t="str">
        <f>CONCATENATE("Lot ",CJ56," Gmb used:")</f>
        <v>Lot 10.2 Gmb used:</v>
      </c>
      <c r="CU56" s="19"/>
      <c r="CV56" s="32" t="str">
        <f>P56</f>
        <v/>
      </c>
      <c r="DA56" s="31">
        <v>10</v>
      </c>
      <c r="DB56" s="19"/>
      <c r="DC56" s="19"/>
      <c r="DD56" s="19"/>
      <c r="DE56" s="19"/>
      <c r="DF56" s="19"/>
      <c r="DG56" s="19"/>
      <c r="DH56" s="19"/>
      <c r="DI56" s="19"/>
      <c r="DJ56" s="19"/>
      <c r="DK56" s="19"/>
      <c r="DL56" s="19"/>
      <c r="DM56" s="32"/>
      <c r="DO56" s="31"/>
      <c r="DP56" s="19">
        <f t="shared" si="50"/>
        <v>10.199999999999999</v>
      </c>
      <c r="DQ56" s="264" t="str">
        <f t="shared" si="52"/>
        <v/>
      </c>
      <c r="DR56" s="19" t="str">
        <f t="shared" si="54"/>
        <v/>
      </c>
      <c r="DS56" s="19"/>
      <c r="DT56" s="19"/>
      <c r="DU56" s="19"/>
      <c r="DV56" s="32"/>
    </row>
    <row r="57" spans="1:126" hidden="1" x14ac:dyDescent="0.25">
      <c r="A57" s="116"/>
      <c r="B57" s="130"/>
      <c r="C57" s="131" t="str">
        <f>IF(ISNUMBER(B55),"Agency QA","")</f>
        <v>Agency QA</v>
      </c>
      <c r="D57" s="131" t="str">
        <f>IF(ISNUMBER(B55),CONCATENATE(B55+0.1,"C"),"")</f>
        <v>10.1C</v>
      </c>
      <c r="E57" s="218"/>
      <c r="F57" s="219"/>
      <c r="G57" s="242"/>
      <c r="H57" s="219"/>
      <c r="I57" s="219"/>
      <c r="J57" s="219"/>
      <c r="K57" s="219"/>
      <c r="L57" s="149" t="str">
        <f>IF(ISNUMBER(B55),IF(H57="","",(H57-I57)),"")</f>
        <v/>
      </c>
      <c r="M57" s="149" t="str">
        <f t="shared" si="40"/>
        <v/>
      </c>
      <c r="N57" s="150" t="str">
        <f t="shared" si="41"/>
        <v/>
      </c>
      <c r="O57" s="149" t="str">
        <f t="shared" si="42"/>
        <v/>
      </c>
      <c r="P57" s="158"/>
      <c r="Q57" s="131" t="str">
        <f>IF(ISNUMBER(B55),IF(OR(BD61="Agency",BD62="Agency",$BG$84="Use Agency Cores"),"Agency Core(s) Used",""),"")</f>
        <v/>
      </c>
      <c r="R57" s="162"/>
      <c r="S57" s="162"/>
      <c r="T57" s="131"/>
      <c r="U57" s="250"/>
      <c r="V57" s="116"/>
      <c r="Z57" s="9" t="s">
        <v>457</v>
      </c>
      <c r="AG57" s="115"/>
      <c r="AH57" s="99" t="s">
        <v>213</v>
      </c>
      <c r="AI57" s="99"/>
      <c r="AJ57" s="99"/>
      <c r="AK57" s="100"/>
      <c r="AN57" s="18"/>
      <c r="AO57" s="19"/>
      <c r="AP57" s="19"/>
      <c r="AQ57" s="19"/>
      <c r="AR57" s="19"/>
      <c r="AS57" s="19"/>
      <c r="AT57" s="19"/>
      <c r="AU57" s="20"/>
      <c r="AW57" s="31">
        <f>B51</f>
        <v>9</v>
      </c>
      <c r="AX57" s="19" t="str">
        <f t="shared" si="55"/>
        <v>Contr. QC</v>
      </c>
      <c r="AY57" s="19">
        <f t="shared" si="56"/>
        <v>9.1</v>
      </c>
      <c r="AZ57" s="19" t="str">
        <f>N51</f>
        <v/>
      </c>
      <c r="BA57" s="19"/>
      <c r="BB57" s="19" t="str">
        <f>IF(ISNUMBER(BA59),"Yes","No")</f>
        <v>No</v>
      </c>
      <c r="BC57" t="str">
        <f>IF(BB57="Yes",IF(ABS((AZ57-BA59))&lt;=0.03,AZ57,BA59),"")</f>
        <v/>
      </c>
      <c r="BD57" t="str">
        <f>IF(BB57="Yes",IF(ABS((AZ57-BA59))&lt;=0.03,"Contractor","Agency"),"")</f>
        <v/>
      </c>
      <c r="BE57" s="19" t="str">
        <f>IF(BD57="Contractor",BC57,"")</f>
        <v/>
      </c>
      <c r="BF57" s="19" t="str">
        <f>IF(BD57="Contractor",BA59,"")</f>
        <v/>
      </c>
      <c r="BG57" s="19" t="str">
        <f>IF(AND($BG$84="Use Agency Cores",ISNUMBER(BA59)),BA59,IF(BD57="Agency",BC57,AZ57))</f>
        <v/>
      </c>
      <c r="BH57" s="19"/>
      <c r="BI57" s="32"/>
      <c r="BL57" s="18">
        <f t="shared" si="57"/>
        <v>10</v>
      </c>
      <c r="BM57" s="19" t="str">
        <f t="shared" si="57"/>
        <v/>
      </c>
      <c r="BN57" s="19"/>
      <c r="BO57" s="20"/>
      <c r="CI57" s="31"/>
      <c r="CJ57" s="19" t="str">
        <f t="shared" si="43"/>
        <v>10.1C</v>
      </c>
      <c r="CK57" s="19" t="str">
        <f t="shared" si="44"/>
        <v/>
      </c>
      <c r="CL57" s="144" t="str">
        <f t="shared" si="45"/>
        <v/>
      </c>
      <c r="CM57" s="19" t="str">
        <f t="shared" si="46"/>
        <v/>
      </c>
      <c r="CN57" s="145" t="str">
        <f t="shared" si="47"/>
        <v/>
      </c>
      <c r="CO57" s="19" t="str">
        <f t="shared" si="48"/>
        <v/>
      </c>
      <c r="CP57" s="144" t="str">
        <f t="shared" si="49"/>
        <v/>
      </c>
      <c r="CQ57" s="19"/>
      <c r="CR57" s="19"/>
      <c r="CS57" s="19"/>
      <c r="CT57" s="19"/>
      <c r="CU57" s="19" t="s">
        <v>319</v>
      </c>
      <c r="CV57" s="32" t="e">
        <f>AVERAGE(CV55:CV56)</f>
        <v>#DIV/0!</v>
      </c>
      <c r="DA57" s="31"/>
      <c r="DB57" s="19"/>
      <c r="DC57" s="19"/>
      <c r="DD57" s="19"/>
      <c r="DE57" s="19"/>
      <c r="DF57" s="19"/>
      <c r="DG57" s="19"/>
      <c r="DH57" s="19"/>
      <c r="DI57" s="19"/>
      <c r="DJ57" s="19"/>
      <c r="DK57" s="19"/>
      <c r="DL57" s="19"/>
      <c r="DM57" s="32"/>
      <c r="DO57" s="31"/>
      <c r="DP57" s="19" t="str">
        <f t="shared" si="50"/>
        <v>10.1C</v>
      </c>
      <c r="DQ57" s="264" t="str">
        <f t="shared" si="52"/>
        <v/>
      </c>
      <c r="DR57" s="19" t="str">
        <f t="shared" si="54"/>
        <v/>
      </c>
      <c r="DS57" s="19"/>
      <c r="DT57" s="19"/>
      <c r="DU57" s="19"/>
      <c r="DV57" s="32"/>
    </row>
    <row r="58" spans="1:126" ht="15.75" hidden="1" thickBot="1" x14ac:dyDescent="0.3">
      <c r="A58" s="116"/>
      <c r="B58" s="133"/>
      <c r="C58" s="134" t="str">
        <f>IF(ISNUMBER(B55),"Agency QA","")</f>
        <v>Agency QA</v>
      </c>
      <c r="D58" s="134" t="str">
        <f>IF(ISNUMBER(B55),CONCATENATE(B55+0.2,"C"),"")</f>
        <v>10.2C</v>
      </c>
      <c r="E58" s="220"/>
      <c r="F58" s="221"/>
      <c r="G58" s="242"/>
      <c r="H58" s="221"/>
      <c r="I58" s="221"/>
      <c r="J58" s="221"/>
      <c r="K58" s="221"/>
      <c r="L58" s="154" t="str">
        <f>IF(ISNUMBER(B55),IF(H58="","",(H58-I58)),"")</f>
        <v/>
      </c>
      <c r="M58" s="154" t="str">
        <f t="shared" si="40"/>
        <v/>
      </c>
      <c r="N58" s="155" t="str">
        <f t="shared" si="41"/>
        <v/>
      </c>
      <c r="O58" s="154" t="str">
        <f t="shared" si="42"/>
        <v/>
      </c>
      <c r="P58" s="155" t="str">
        <f>IF(ISNUMBER(P55),CV58,"")</f>
        <v/>
      </c>
      <c r="Q58" s="135" t="str">
        <f>IF(ISNUMBER(P58),"= Avg. Gmb","")</f>
        <v/>
      </c>
      <c r="R58" s="163"/>
      <c r="S58" s="283"/>
      <c r="T58" s="286"/>
      <c r="U58" s="287"/>
      <c r="V58" s="116"/>
      <c r="Z58" s="9" t="s">
        <v>41</v>
      </c>
      <c r="AA58" s="7"/>
      <c r="AB58" s="10"/>
      <c r="AC58" s="7"/>
      <c r="AD58" s="7"/>
      <c r="AE58" s="7"/>
      <c r="AG58" s="31"/>
      <c r="AH58" s="19"/>
      <c r="AI58" s="19"/>
      <c r="AJ58" s="19"/>
      <c r="AK58" s="32"/>
      <c r="AN58" s="18"/>
      <c r="AO58" s="19"/>
      <c r="AP58" s="19"/>
      <c r="AQ58" s="19"/>
      <c r="AR58" s="19"/>
      <c r="AS58" s="19"/>
      <c r="AT58" s="19"/>
      <c r="AU58" s="20"/>
      <c r="AW58" s="31"/>
      <c r="AX58" s="19" t="str">
        <f t="shared" si="55"/>
        <v>Contr. QC</v>
      </c>
      <c r="AY58" s="19">
        <f t="shared" si="56"/>
        <v>9.1999999999999993</v>
      </c>
      <c r="AZ58" s="19" t="str">
        <f>N52</f>
        <v/>
      </c>
      <c r="BA58" s="19"/>
      <c r="BB58" s="19" t="str">
        <f>IF(ISNUMBER(BA60),"Yes","No")</f>
        <v>No</v>
      </c>
      <c r="BC58" t="str">
        <f>IF(BB58="Yes",IF(ABS((AZ58-BA60))&lt;=0.03,AZ58,BA60),"")</f>
        <v/>
      </c>
      <c r="BD58" t="str">
        <f>IF(BB58="Yes",IF(ABS((AZ58-BA60))&lt;=0.03,"Contractor","Agency"),"")</f>
        <v/>
      </c>
      <c r="BE58" s="19" t="str">
        <f>IF(BD58="Contractor",BC58,"")</f>
        <v/>
      </c>
      <c r="BF58" s="19" t="str">
        <f>IF(BD58="Contractor",BA60,"")</f>
        <v/>
      </c>
      <c r="BG58" s="19" t="str">
        <f>IF(AND($BG$84="Use Agency Cores",ISNUMBER(BA60)),BA60,IF(BD58="Agency",BC58,AZ58))</f>
        <v/>
      </c>
      <c r="BH58" s="19"/>
      <c r="BI58" s="32"/>
      <c r="BL58" s="18"/>
      <c r="BM58" s="19"/>
      <c r="BN58" s="19"/>
      <c r="BO58" s="20"/>
      <c r="CI58" s="31"/>
      <c r="CJ58" s="19" t="str">
        <f t="shared" si="43"/>
        <v>10.2C</v>
      </c>
      <c r="CK58" s="19" t="str">
        <f t="shared" si="44"/>
        <v/>
      </c>
      <c r="CL58" s="144" t="str">
        <f t="shared" si="45"/>
        <v/>
      </c>
      <c r="CM58" s="19" t="str">
        <f t="shared" si="46"/>
        <v/>
      </c>
      <c r="CN58" s="145" t="str">
        <f t="shared" si="47"/>
        <v/>
      </c>
      <c r="CO58" s="19" t="str">
        <f t="shared" si="48"/>
        <v/>
      </c>
      <c r="CP58" s="144" t="str">
        <f t="shared" si="49"/>
        <v/>
      </c>
      <c r="CQ58" s="19"/>
      <c r="CR58" s="19"/>
      <c r="CS58" s="173" t="str">
        <f>CONCATENATE("Lot ",B55)</f>
        <v>Lot 10</v>
      </c>
      <c r="CT58" s="19" t="s">
        <v>320</v>
      </c>
      <c r="CU58" s="19"/>
      <c r="CV58" s="32" t="e">
        <f>IF(ROUND((CV57*1000),0)-(CV57*1000)=0.5,IF(EVEN((CV57*1000))-(CV57*1000)=1.5,(EVEN((CV57*1000))-2)/1000,EVEN((CV57*1000))/1000),ROUND(CV57,3))</f>
        <v>#DIV/0!</v>
      </c>
      <c r="DA58" s="31"/>
      <c r="DB58" s="35"/>
      <c r="DC58" s="35"/>
      <c r="DD58" s="35"/>
      <c r="DE58" s="35"/>
      <c r="DF58" s="35"/>
      <c r="DG58" s="35"/>
      <c r="DH58" s="35"/>
      <c r="DI58" s="35"/>
      <c r="DJ58" s="35"/>
      <c r="DK58" s="35"/>
      <c r="DL58" s="35"/>
      <c r="DM58" s="36"/>
      <c r="DO58" s="31"/>
      <c r="DP58" s="19" t="str">
        <f t="shared" si="50"/>
        <v>10.2C</v>
      </c>
      <c r="DQ58" s="264" t="str">
        <f t="shared" si="52"/>
        <v/>
      </c>
      <c r="DR58" s="19" t="str">
        <f t="shared" si="54"/>
        <v/>
      </c>
      <c r="DS58" s="19"/>
      <c r="DT58" s="19"/>
      <c r="DU58" s="19"/>
      <c r="DV58" s="32"/>
    </row>
    <row r="59" spans="1:126" ht="17.25" thickTop="1" thickBot="1" x14ac:dyDescent="0.3">
      <c r="A59" s="116"/>
      <c r="B59" s="138" t="str">
        <f>IF(M6="Yes","Longitudinal Joint Density Cores","")</f>
        <v>Longitudinal Joint Density Cores</v>
      </c>
      <c r="C59" s="116"/>
      <c r="D59" s="121"/>
      <c r="E59" s="116"/>
      <c r="F59" s="309" t="s">
        <v>365</v>
      </c>
      <c r="G59" s="309"/>
      <c r="H59" s="309"/>
      <c r="I59" s="232">
        <f>AD131</f>
        <v>89.5</v>
      </c>
      <c r="J59" s="116"/>
      <c r="K59" s="309" t="s">
        <v>366</v>
      </c>
      <c r="L59" s="309"/>
      <c r="M59" s="309"/>
      <c r="N59" s="126">
        <f>AD132</f>
        <v>88.1</v>
      </c>
      <c r="O59" s="116"/>
      <c r="P59" s="116"/>
      <c r="Q59" s="116"/>
      <c r="R59" s="116"/>
      <c r="S59" s="116"/>
      <c r="T59" s="116"/>
      <c r="U59" s="116"/>
      <c r="V59" s="116"/>
      <c r="Z59" s="9" t="s">
        <v>458</v>
      </c>
      <c r="AG59" s="31"/>
      <c r="AH59" s="19" t="s">
        <v>130</v>
      </c>
      <c r="AI59" s="19" t="s">
        <v>175</v>
      </c>
      <c r="AJ59" s="19"/>
      <c r="AK59" s="32"/>
      <c r="AN59" s="18" t="s">
        <v>118</v>
      </c>
      <c r="AO59" s="19"/>
      <c r="AP59" s="19"/>
      <c r="AQ59" s="19"/>
      <c r="AR59" s="19"/>
      <c r="AS59" s="19"/>
      <c r="AT59" s="19"/>
      <c r="AU59" s="20"/>
      <c r="AW59" s="31"/>
      <c r="AX59" s="19" t="str">
        <f t="shared" si="55"/>
        <v>Agency QA</v>
      </c>
      <c r="AY59" s="19" t="str">
        <f t="shared" si="56"/>
        <v>9.1C</v>
      </c>
      <c r="AZ59" s="19"/>
      <c r="BA59" s="19" t="str">
        <f>N53</f>
        <v/>
      </c>
      <c r="BB59" s="19"/>
      <c r="BD59" s="19"/>
      <c r="BE59" s="19"/>
      <c r="BF59" s="19"/>
      <c r="BG59" s="19"/>
      <c r="BH59" s="19"/>
      <c r="BI59" s="32"/>
      <c r="BL59" s="18" t="s">
        <v>229</v>
      </c>
      <c r="BM59" s="19" t="e">
        <f>IF(AND(BM48,BM49,BM50,BM51,BM52,BM53,BM54,BM55,BM56,BM57)&lt;BN45,"Stop Production","OK")</f>
        <v>#VALUE!</v>
      </c>
      <c r="BN59" s="19"/>
      <c r="BO59" s="20"/>
      <c r="CI59" s="31"/>
      <c r="CJ59" s="19"/>
      <c r="CK59" s="19" t="s">
        <v>312</v>
      </c>
      <c r="CL59" s="19" t="s">
        <v>314</v>
      </c>
      <c r="CM59" s="19" t="s">
        <v>312</v>
      </c>
      <c r="CN59" s="19" t="s">
        <v>314</v>
      </c>
      <c r="CO59" s="19" t="s">
        <v>312</v>
      </c>
      <c r="CP59" s="19" t="s">
        <v>314</v>
      </c>
      <c r="CQ59" s="170" t="s">
        <v>305</v>
      </c>
      <c r="CR59" s="170" t="s">
        <v>305</v>
      </c>
      <c r="CS59" s="19"/>
      <c r="CT59" s="19"/>
      <c r="CU59" s="19"/>
      <c r="CV59" s="32"/>
      <c r="DA59" s="31"/>
      <c r="DB59" s="19"/>
      <c r="DC59" s="19"/>
      <c r="DD59" s="19"/>
      <c r="DE59" s="19"/>
      <c r="DF59" s="203"/>
      <c r="DG59" s="203"/>
      <c r="DH59" s="168"/>
      <c r="DI59" s="204"/>
      <c r="DJ59" s="19"/>
      <c r="DK59" s="19"/>
      <c r="DL59" s="19"/>
      <c r="DM59" s="32"/>
      <c r="DO59" s="31"/>
      <c r="DP59" s="19"/>
      <c r="DQ59" s="19"/>
      <c r="DR59" s="19"/>
      <c r="DS59" s="19"/>
      <c r="DT59" s="19"/>
      <c r="DU59" s="19"/>
      <c r="DV59" s="32"/>
    </row>
    <row r="60" spans="1:126" ht="20.25" thickTop="1" thickBot="1" x14ac:dyDescent="0.35">
      <c r="A60" s="116"/>
      <c r="B60" s="127" t="str">
        <f>IF(M6="Yes","Assoc.","")</f>
        <v>Assoc.</v>
      </c>
      <c r="C60" s="127"/>
      <c r="D60" s="127"/>
      <c r="E60" s="127"/>
      <c r="F60" s="127" t="str">
        <f>IF(M6="Yes","Core","")</f>
        <v>Core</v>
      </c>
      <c r="G60" s="127"/>
      <c r="H60" s="236"/>
      <c r="I60" s="233" t="str">
        <f>IF(M6="Yes","Core +","")</f>
        <v>Core +</v>
      </c>
      <c r="J60" s="233"/>
      <c r="K60" s="233"/>
      <c r="L60" s="233"/>
      <c r="M60" s="233" t="str">
        <f>IF(M6="Yes","Dry","")</f>
        <v>Dry</v>
      </c>
      <c r="N60" s="233" t="str">
        <f>IF(M6="Yes","% water","")</f>
        <v>% water</v>
      </c>
      <c r="O60" s="233" t="str">
        <f>IF(M6="Yes","Gmb/","")</f>
        <v>Gmb/</v>
      </c>
      <c r="P60" s="233" t="str">
        <f>IF(M6="Yes","Density","")</f>
        <v>Density</v>
      </c>
      <c r="Q60" s="233" t="str">
        <f>IF(M6="Yes","Bulk","")</f>
        <v>Bulk</v>
      </c>
      <c r="R60" s="233" t="str">
        <f>IF(M6="Yes","Lot Avg.","")</f>
        <v>Lot Avg.</v>
      </c>
      <c r="S60" s="233" t="str">
        <f>IF(M6="Yes","Edge Pay","")</f>
        <v>Edge Pay</v>
      </c>
      <c r="T60" s="327" t="s">
        <v>308</v>
      </c>
      <c r="U60" s="328"/>
      <c r="V60" s="116"/>
      <c r="Z60" s="9" t="s">
        <v>446</v>
      </c>
      <c r="AG60" s="31"/>
      <c r="AH60" s="19" t="s">
        <v>68</v>
      </c>
      <c r="AI60" s="19" t="s">
        <v>217</v>
      </c>
      <c r="AJ60" s="19"/>
      <c r="AK60" s="32"/>
      <c r="AN60" s="18"/>
      <c r="AO60" s="19"/>
      <c r="AP60" s="19"/>
      <c r="AQ60" s="19"/>
      <c r="AR60" s="19"/>
      <c r="AS60" s="19"/>
      <c r="AT60" s="19"/>
      <c r="AU60" s="20"/>
      <c r="AW60" s="31"/>
      <c r="AX60" s="19" t="str">
        <f t="shared" si="55"/>
        <v>Agency QA</v>
      </c>
      <c r="AY60" s="19" t="str">
        <f t="shared" si="56"/>
        <v>9.2C</v>
      </c>
      <c r="AZ60" s="19"/>
      <c r="BA60" s="19" t="str">
        <f>N54</f>
        <v/>
      </c>
      <c r="BB60" s="19"/>
      <c r="BD60" s="19"/>
      <c r="BE60" s="19"/>
      <c r="BF60" s="19"/>
      <c r="BG60" s="19"/>
      <c r="BH60" s="19"/>
      <c r="BI60" s="32"/>
      <c r="BL60" s="24"/>
      <c r="BM60" s="25"/>
      <c r="BN60" s="25"/>
      <c r="BO60" s="26"/>
      <c r="CI60" s="31"/>
      <c r="CJ60" s="19"/>
      <c r="CK60" s="170" t="s">
        <v>302</v>
      </c>
      <c r="CL60" s="170" t="s">
        <v>302</v>
      </c>
      <c r="CM60" s="170" t="s">
        <v>303</v>
      </c>
      <c r="CN60" s="170" t="s">
        <v>303</v>
      </c>
      <c r="CO60" s="170" t="s">
        <v>82</v>
      </c>
      <c r="CP60" s="170" t="s">
        <v>82</v>
      </c>
      <c r="CQ60" s="170" t="s">
        <v>82</v>
      </c>
      <c r="CR60" s="170" t="s">
        <v>82</v>
      </c>
      <c r="CS60" s="19"/>
      <c r="CT60" s="19"/>
      <c r="CU60" s="19"/>
      <c r="CV60" s="32"/>
      <c r="DA60" s="31"/>
      <c r="DB60" s="19"/>
      <c r="DC60" s="19" t="s">
        <v>432</v>
      </c>
      <c r="DE60" s="19"/>
      <c r="DF60" s="19" t="str">
        <f>IF(OR(DF19="Rem/Repl",DF23="Rem/Repl",DF27="Rem/Repl",DF35="Rem/Repl",DF39="Rem/Repl",DF43="Rem/Repl",DF47="Rem/Repl",DF51="Rem/Repl",DF55="Rem/Repl"),"Rem/Repl","")</f>
        <v/>
      </c>
      <c r="DG60" s="19"/>
      <c r="DH60" s="19"/>
      <c r="DI60" s="19"/>
      <c r="DJ60" s="19"/>
      <c r="DK60" s="19"/>
      <c r="DL60" s="19"/>
      <c r="DM60" s="32"/>
      <c r="DO60" s="265" t="s">
        <v>424</v>
      </c>
      <c r="DP60" s="266"/>
      <c r="DQ60" s="266"/>
      <c r="DR60" s="259" t="str">
        <f>IF(OR(DR19="Yes",DR20="Yes",DR21="Yes",DR22="Yes",DR23="Yes",DR24="Yes",DR25="Yes",DR26="Yes",DR27="Yes",DR28="Yes",DR29="Yes",DR30="Yes",DR31="Yes",DR32="Yes",DR33="Yes",DR34="Yes",DR35="Yes",DR36="Yes",DR37="Yes",DR38="Yes",DR39="Yes",DR40="Yes",DR41="Yes",DR42="Yes",DR43="Yes",DR44="Yes",DR45="Yes",DR46="Yes",DR47="Yes",DR48="Yes",DR49="Yes",DR50="Yes", DR51="Yes",DR52="Yes",DR53="Yes",DR54="Yes",DR55="Yes",DR56="Yes",DR57="Yes",DR58="Yes"),"Core &lt; 87%"," ")</f>
        <v xml:space="preserve"> </v>
      </c>
      <c r="DS60" s="19"/>
      <c r="DT60" s="19"/>
      <c r="DU60" s="19"/>
      <c r="DV60" s="32"/>
    </row>
    <row r="61" spans="1:126" ht="20.25" thickTop="1" thickBot="1" x14ac:dyDescent="0.35">
      <c r="A61" s="116"/>
      <c r="B61" s="127" t="str">
        <f>IF(M6="Yes","Mat","")</f>
        <v>Mat</v>
      </c>
      <c r="C61" s="127"/>
      <c r="D61" s="127" t="str">
        <f>IF(M6="Yes","Core #","")</f>
        <v>Core #</v>
      </c>
      <c r="E61" s="127" t="str">
        <f>IF(M6="Yes","Joint","")</f>
        <v>Joint</v>
      </c>
      <c r="F61" s="127" t="str">
        <f>IF(M6="Yes","Thickness","")</f>
        <v>Thickness</v>
      </c>
      <c r="G61" s="127" t="str">
        <f>IF(M6="Yes","Air Dry","")</f>
        <v>Air Dry</v>
      </c>
      <c r="H61" s="236" t="s">
        <v>74</v>
      </c>
      <c r="I61" s="233" t="str">
        <f>IF(M6="Yes","Pan","")</f>
        <v>Pan</v>
      </c>
      <c r="J61" s="233" t="str">
        <f>IF(M6="Yes","Pan","")</f>
        <v>Pan</v>
      </c>
      <c r="K61" s="233" t="str">
        <f>IF($M$6="Yes","SSD","")</f>
        <v>SSD</v>
      </c>
      <c r="L61" s="233" t="str">
        <f>IF(M6="Yes","Immersed","")</f>
        <v>Immersed</v>
      </c>
      <c r="M61" s="233" t="str">
        <f>IF(M6="Yes","Weight","")</f>
        <v>Weight</v>
      </c>
      <c r="N61" s="233" t="str">
        <f>IF(M6="Yes","absorbed","")</f>
        <v>absorbed</v>
      </c>
      <c r="O61" s="233" t="str">
        <f>IF(M6="Yes","Bulk Sp.G","")</f>
        <v>Bulk Sp.G</v>
      </c>
      <c r="P61" s="233" t="str">
        <f>IF(M6="Yes","(% of Gmm)","")</f>
        <v>(% of Gmm)</v>
      </c>
      <c r="Q61" s="233" t="str">
        <f>IF(M6="Yes","Sp. G","")</f>
        <v>Sp. G</v>
      </c>
      <c r="R61" s="233" t="str">
        <f>IF(M6="Yes","Density","")</f>
        <v>Density</v>
      </c>
      <c r="S61" s="233" t="str">
        <f>IF(M6="Yes","Factor","")</f>
        <v>Factor</v>
      </c>
      <c r="T61" s="329">
        <f>DL61</f>
        <v>0</v>
      </c>
      <c r="U61" s="330"/>
      <c r="V61" s="116"/>
      <c r="Z61" s="9" t="s">
        <v>42</v>
      </c>
      <c r="AG61" s="31"/>
      <c r="AH61" s="19" t="s">
        <v>216</v>
      </c>
      <c r="AI61" s="19" t="s">
        <v>216</v>
      </c>
      <c r="AJ61" s="19"/>
      <c r="AK61" s="32"/>
      <c r="AN61" s="18"/>
      <c r="AO61" s="19"/>
      <c r="AP61" s="19"/>
      <c r="AQ61" s="19"/>
      <c r="AR61" s="19"/>
      <c r="AS61" s="19"/>
      <c r="AT61" s="19"/>
      <c r="AU61" s="20"/>
      <c r="AW61" s="31">
        <f>B55</f>
        <v>10</v>
      </c>
      <c r="AX61" s="19" t="str">
        <f t="shared" si="55"/>
        <v>Contr. QC</v>
      </c>
      <c r="AY61" s="19">
        <f t="shared" si="56"/>
        <v>10.1</v>
      </c>
      <c r="AZ61" s="19" t="str">
        <f>N55</f>
        <v/>
      </c>
      <c r="BA61" s="19"/>
      <c r="BB61" s="19" t="str">
        <f>IF(ISNUMBER(BA63),"Yes","No")</f>
        <v>No</v>
      </c>
      <c r="BC61" t="str">
        <f>IF(BB61="Yes",IF(ABS((AZ61-BA63))&lt;=0.03,AZ61,BA63),"")</f>
        <v/>
      </c>
      <c r="BD61" t="str">
        <f>IF(BB61="Yes",IF(ABS((AZ61-BA63))&lt;=0.03,"Contractor","Agency"),"")</f>
        <v/>
      </c>
      <c r="BE61" s="19" t="str">
        <f>IF(BD61="Contractor",BC61,"")</f>
        <v/>
      </c>
      <c r="BF61" s="19" t="str">
        <f>IF(BD61="Contractor",BA63,"")</f>
        <v/>
      </c>
      <c r="BG61" s="19" t="str">
        <f>IF(AND($BG$84="Use Agency Cores",ISNUMBER(BA63)),BA63,IF(BD61="Agency",BC61,AZ61))</f>
        <v/>
      </c>
      <c r="BH61" s="19"/>
      <c r="BI61" s="32"/>
      <c r="CI61" s="31"/>
      <c r="CJ61" s="19" t="str">
        <f>D61</f>
        <v>Core #</v>
      </c>
      <c r="CK61" s="170" t="s">
        <v>78</v>
      </c>
      <c r="CL61" s="170" t="s">
        <v>78</v>
      </c>
      <c r="CM61" s="170" t="s">
        <v>304</v>
      </c>
      <c r="CN61" s="170" t="s">
        <v>304</v>
      </c>
      <c r="CO61" s="170" t="s">
        <v>133</v>
      </c>
      <c r="CP61" s="170" t="s">
        <v>133</v>
      </c>
      <c r="CQ61" s="170" t="s">
        <v>306</v>
      </c>
      <c r="CR61" s="170" t="s">
        <v>306</v>
      </c>
      <c r="CS61" s="19"/>
      <c r="CT61" s="19"/>
      <c r="CU61" s="19"/>
      <c r="CV61" s="32"/>
      <c r="DA61" s="31"/>
      <c r="DB61" s="19"/>
      <c r="DC61" s="19"/>
      <c r="DD61" s="19"/>
      <c r="DE61" s="19"/>
      <c r="DF61" s="19"/>
      <c r="DG61" s="19"/>
      <c r="DH61" s="19"/>
      <c r="DI61" s="266" t="s">
        <v>359</v>
      </c>
      <c r="DJ61" s="266"/>
      <c r="DK61" s="266"/>
      <c r="DL61" s="276">
        <f>IF(DF60="Rem/Repl","Rem/Replace",SUM(DL19:DL58))</f>
        <v>0</v>
      </c>
      <c r="DM61" s="32"/>
      <c r="DO61" s="43"/>
      <c r="DP61" s="35"/>
      <c r="DQ61" s="35"/>
      <c r="DR61" s="35"/>
      <c r="DS61" s="35"/>
      <c r="DT61" s="35"/>
      <c r="DU61" s="35"/>
      <c r="DV61" s="36"/>
    </row>
    <row r="62" spans="1:126" ht="16.5" thickTop="1" thickBot="1" x14ac:dyDescent="0.3">
      <c r="A62" s="116"/>
      <c r="B62" s="127" t="str">
        <f>IF(M6="Yes","Core","")</f>
        <v>Core</v>
      </c>
      <c r="C62" s="127"/>
      <c r="D62" s="127"/>
      <c r="E62" s="127" t="str">
        <f>IF(M6="Yes","Type","")</f>
        <v>Type</v>
      </c>
      <c r="F62" s="127" t="str">
        <f>IF(M6="Yes","(inches)","")</f>
        <v>(inches)</v>
      </c>
      <c r="G62" s="127" t="str">
        <f t="shared" ref="G62:M62" si="59">IF($M$6="Yes","(g)","")</f>
        <v>(g)</v>
      </c>
      <c r="H62" s="236" t="s">
        <v>216</v>
      </c>
      <c r="I62" s="233" t="str">
        <f t="shared" si="59"/>
        <v>(g)</v>
      </c>
      <c r="J62" s="233" t="str">
        <f t="shared" si="59"/>
        <v>(g)</v>
      </c>
      <c r="K62" s="233" t="str">
        <f t="shared" si="59"/>
        <v>(g)</v>
      </c>
      <c r="L62" s="233" t="str">
        <f t="shared" si="59"/>
        <v>(g)</v>
      </c>
      <c r="M62" s="233" t="str">
        <f t="shared" si="59"/>
        <v>(g)</v>
      </c>
      <c r="N62" s="233"/>
      <c r="O62" s="233"/>
      <c r="P62" s="233"/>
      <c r="Q62" s="233" t="str">
        <f>IF(M6="Yes","used","")</f>
        <v>used</v>
      </c>
      <c r="R62" s="233" t="str">
        <f>IF(M6="Yes","% of Gmm","")</f>
        <v>% of Gmm</v>
      </c>
      <c r="S62" s="233" t="str">
        <f>IF(M6="Yes","B or C","")</f>
        <v>B or C</v>
      </c>
      <c r="T62" s="116"/>
      <c r="U62" s="116"/>
      <c r="V62" s="116"/>
      <c r="Z62" s="9" t="s">
        <v>447</v>
      </c>
      <c r="AG62" s="31" t="s">
        <v>214</v>
      </c>
      <c r="AH62" s="19">
        <f>B63</f>
        <v>0</v>
      </c>
      <c r="AI62" s="19">
        <f>INT(AH62)</f>
        <v>0</v>
      </c>
      <c r="AJ62" s="19"/>
      <c r="AK62" s="32"/>
      <c r="AN62" s="18"/>
      <c r="AO62" s="19" t="s">
        <v>121</v>
      </c>
      <c r="AP62" s="19"/>
      <c r="AQ62" s="19"/>
      <c r="AR62" s="19"/>
      <c r="AS62" s="19" t="s">
        <v>124</v>
      </c>
      <c r="AT62" s="19"/>
      <c r="AU62" s="20"/>
      <c r="AW62" s="31"/>
      <c r="AX62" s="19" t="str">
        <f t="shared" si="55"/>
        <v>Contr. QC</v>
      </c>
      <c r="AY62" s="19">
        <f t="shared" si="56"/>
        <v>10.199999999999999</v>
      </c>
      <c r="AZ62" s="19" t="str">
        <f>N56</f>
        <v/>
      </c>
      <c r="BA62" s="19"/>
      <c r="BB62" s="19" t="str">
        <f>IF(ISNUMBER(BA64),"Yes","No")</f>
        <v>No</v>
      </c>
      <c r="BC62" t="str">
        <f>IF(BB62="Yes",IF(ABS((AZ62-BA64))&lt;=0.03,AZ62,BA64),"")</f>
        <v/>
      </c>
      <c r="BD62" t="str">
        <f>IF(BB62="Yes",IF(ABS((AZ62-BA64))&lt;=0.03,"Contractor","Agency"),"")</f>
        <v/>
      </c>
      <c r="BE62" s="19" t="str">
        <f>IF(BD62="Contractor",BC62,"")</f>
        <v/>
      </c>
      <c r="BF62" s="19" t="str">
        <f>IF(BD62="Contractor",BA64,"")</f>
        <v/>
      </c>
      <c r="BG62" s="19" t="str">
        <f>IF(AND($BG$84="Use Agency Cores",ISNUMBER(BA64)),BA64,IF(BD62="Agency",BC62,AZ62))</f>
        <v/>
      </c>
      <c r="BH62" s="19"/>
      <c r="BI62" s="32"/>
      <c r="CI62" s="31"/>
      <c r="CJ62" s="19"/>
      <c r="CK62" s="19"/>
      <c r="CL62" s="19"/>
      <c r="CM62" s="19"/>
      <c r="CN62" s="19"/>
      <c r="CO62" s="19"/>
      <c r="CP62" s="19"/>
      <c r="CQ62" s="19"/>
      <c r="CR62" s="19"/>
      <c r="CS62" s="19"/>
      <c r="CT62" s="19"/>
      <c r="CU62" s="19"/>
      <c r="CV62" s="32"/>
      <c r="DA62" s="43"/>
      <c r="DB62" s="35"/>
      <c r="DC62" s="35"/>
      <c r="DD62" s="35"/>
      <c r="DE62" s="35"/>
      <c r="DF62" s="35"/>
      <c r="DG62" s="35"/>
      <c r="DH62" s="35"/>
      <c r="DI62" s="35"/>
      <c r="DJ62" s="35"/>
      <c r="DK62" s="35"/>
      <c r="DL62" s="35"/>
      <c r="DM62" s="36"/>
    </row>
    <row r="63" spans="1:126" ht="15.75" thickTop="1" x14ac:dyDescent="0.25">
      <c r="A63" s="116"/>
      <c r="B63" s="215"/>
      <c r="C63" s="129" t="str">
        <f>IF($AH$114="No",IF($AJ$52&gt;0,"Contr. QC",""),"")</f>
        <v/>
      </c>
      <c r="D63" s="129" t="str">
        <f>IF($AH$114="No",AB114,"")</f>
        <v/>
      </c>
      <c r="E63" s="222" t="s">
        <v>171</v>
      </c>
      <c r="F63" s="216"/>
      <c r="G63" s="217"/>
      <c r="H63" s="239"/>
      <c r="I63" s="217"/>
      <c r="J63" s="217"/>
      <c r="K63" s="217"/>
      <c r="L63" s="217"/>
      <c r="M63" s="152">
        <f>IF($AJ$52&gt;0,(I63-J63),"")</f>
        <v>0</v>
      </c>
      <c r="N63" s="152" t="str">
        <f t="shared" ref="N63:N70" si="60">CL63</f>
        <v/>
      </c>
      <c r="O63" s="153" t="str">
        <f t="shared" ref="O63:O70" si="61">CN63</f>
        <v/>
      </c>
      <c r="P63" s="152" t="str">
        <f t="shared" ref="P63:P70" si="62">CP63</f>
        <v/>
      </c>
      <c r="Q63" s="151" t="str">
        <f>BG65</f>
        <v/>
      </c>
      <c r="R63" s="152" t="str">
        <f>CR63</f>
        <v/>
      </c>
      <c r="S63" s="164" t="str">
        <f>IF($AH$114="No",BY37,"")</f>
        <v/>
      </c>
      <c r="T63" s="325"/>
      <c r="U63" s="326"/>
      <c r="V63" s="116"/>
      <c r="AG63" s="31" t="s">
        <v>215</v>
      </c>
      <c r="AH63" s="19">
        <f>B67</f>
        <v>0</v>
      </c>
      <c r="AI63" s="19">
        <f>INT(AH63)</f>
        <v>0</v>
      </c>
      <c r="AJ63" s="19"/>
      <c r="AK63" s="32"/>
      <c r="AN63" s="18"/>
      <c r="AO63" s="19" t="s">
        <v>122</v>
      </c>
      <c r="AP63" s="19"/>
      <c r="AQ63" s="19"/>
      <c r="AR63" s="19"/>
      <c r="AS63" s="19" t="s">
        <v>123</v>
      </c>
      <c r="AT63" s="19"/>
      <c r="AU63" s="20"/>
      <c r="AW63" s="31"/>
      <c r="AX63" s="19" t="str">
        <f t="shared" si="55"/>
        <v>Agency QA</v>
      </c>
      <c r="AY63" s="19" t="str">
        <f t="shared" si="56"/>
        <v>10.1C</v>
      </c>
      <c r="AZ63" s="19"/>
      <c r="BA63" s="19" t="str">
        <f>N57</f>
        <v/>
      </c>
      <c r="BB63" s="19"/>
      <c r="BD63" s="19"/>
      <c r="BE63" s="19"/>
      <c r="BF63" s="19"/>
      <c r="BG63" s="19"/>
      <c r="BH63" s="19"/>
      <c r="BI63" s="32"/>
      <c r="BL63" t="s">
        <v>268</v>
      </c>
      <c r="CI63" s="31"/>
      <c r="CJ63" s="19" t="str">
        <f t="shared" ref="CJ63:CJ70" si="63">D63</f>
        <v/>
      </c>
      <c r="CK63" s="19" t="e">
        <f>IF($AJ$52&gt;0,((K63-G63)/(K63-L63))*100,"")</f>
        <v>#DIV/0!</v>
      </c>
      <c r="CL63" s="144" t="str">
        <f t="shared" ref="CL63:CL70" si="64">IF(ISNUMBER(CK63),IF(ROUND((CK63*10),0)-(CK63*10)=0.5,IF(EVEN((CK63*10))-(CK63*10)=1.5,(EVEN((CK63*10))-2)/10,EVEN((CK63*10))/10),ROUND(CK63,1)),"")</f>
        <v/>
      </c>
      <c r="CM63" s="19" t="e">
        <f>IF($AJ$52&gt;0,(M63/(K63-L63)),"")</f>
        <v>#DIV/0!</v>
      </c>
      <c r="CN63" s="145" t="str">
        <f t="shared" ref="CN63:CN70" si="65">IF(ISNUMBER(CM63),IF(ROUND((CM63*1000),0)-(CM63*1000)=0.5,IF(EVEN((CM63*1000))-(CM63*1000)=1.5,(EVEN((CM63*1000))-2)/1000,EVEN((CM63*1000))/1000),ROUND(CM63,3)),"")</f>
        <v/>
      </c>
      <c r="CO63" s="19" t="e">
        <f>IF($AJ$52&gt;0,((O63/$H$14)*100),"")</f>
        <v>#VALUE!</v>
      </c>
      <c r="CP63" s="144" t="str">
        <f t="shared" ref="CP63:CP70" si="66">IF(ISNUMBER(CO63),IF(ROUND((CO63*10),0)-(CO63*10)=0.5,IF(EVEN((CO63*10))-(CO63*10)=1.5,(EVEN((CO63*10))-2)/10,EVEN((CO63*10))/10),ROUND(CO63,1)),"")</f>
        <v/>
      </c>
      <c r="CQ63" s="19" t="e">
        <f>IF($AJ$52&gt;0,(Q63/$H$14)*100,"")</f>
        <v>#VALUE!</v>
      </c>
      <c r="CR63" s="144" t="str">
        <f>IF(ISNUMBER(CQ63),IF(ROUND((CQ63*10),0)-(CQ63*10)=0.5,IF(EVEN((CQ63*10))-(CQ63*10)=1.5,(EVEN((CQ63*10))-2)/10,EVEN((CQ63*10))/10),ROUND(CQ63,1)),"")</f>
        <v/>
      </c>
      <c r="CS63" s="19"/>
      <c r="CT63" s="19"/>
      <c r="CU63" s="19"/>
      <c r="CV63" s="32"/>
    </row>
    <row r="64" spans="1:126" ht="15.75" x14ac:dyDescent="0.25">
      <c r="A64" s="116"/>
      <c r="B64" s="178" t="str">
        <f>AI114</f>
        <v/>
      </c>
      <c r="C64" s="121" t="str">
        <f>IF($AH$114="No",IF($AJ$52&gt;0,"Contr. QC",""),"")</f>
        <v/>
      </c>
      <c r="D64" s="121" t="str">
        <f>IF($AH$114="No",AC114,"")</f>
        <v/>
      </c>
      <c r="E64" s="223" t="s">
        <v>171</v>
      </c>
      <c r="F64" s="218"/>
      <c r="G64" s="219"/>
      <c r="H64" s="240"/>
      <c r="I64" s="219"/>
      <c r="J64" s="219"/>
      <c r="K64" s="219"/>
      <c r="L64" s="219"/>
      <c r="M64" s="159">
        <f>IF($AJ$52&gt;0,(I64-J64),"")</f>
        <v>0</v>
      </c>
      <c r="N64" s="149" t="str">
        <f t="shared" si="60"/>
        <v/>
      </c>
      <c r="O64" s="158" t="str">
        <f t="shared" si="61"/>
        <v/>
      </c>
      <c r="P64" s="149" t="str">
        <f t="shared" si="62"/>
        <v/>
      </c>
      <c r="Q64" s="228" t="str">
        <f>BG66</f>
        <v/>
      </c>
      <c r="R64" s="159" t="str">
        <f>CR64</f>
        <v/>
      </c>
      <c r="S64" s="165" t="str">
        <f>IF($AH$114="No",BY38,"")</f>
        <v/>
      </c>
      <c r="T64" s="279"/>
      <c r="U64" s="280"/>
      <c r="V64" s="116"/>
      <c r="Z64" s="73" t="s">
        <v>52</v>
      </c>
      <c r="AA64" s="74"/>
      <c r="AB64" s="74"/>
      <c r="AC64" s="73" t="s">
        <v>88</v>
      </c>
      <c r="AD64" s="74"/>
      <c r="AE64" s="74"/>
      <c r="AF64" s="7"/>
      <c r="AG64" s="31"/>
      <c r="AH64" s="19"/>
      <c r="AI64" s="19"/>
      <c r="AJ64" s="19"/>
      <c r="AK64" s="32"/>
      <c r="AN64" s="18" t="s">
        <v>119</v>
      </c>
      <c r="AO64" s="19"/>
      <c r="AP64" s="19"/>
      <c r="AQ64" s="19"/>
      <c r="AR64" s="19" t="s">
        <v>119</v>
      </c>
      <c r="AS64" s="19"/>
      <c r="AT64" s="19"/>
      <c r="AU64" s="20"/>
      <c r="AW64" s="31"/>
      <c r="AX64" s="19" t="str">
        <f t="shared" si="55"/>
        <v>Agency QA</v>
      </c>
      <c r="AY64" s="19" t="str">
        <f t="shared" si="56"/>
        <v>10.2C</v>
      </c>
      <c r="AZ64" s="19"/>
      <c r="BA64" s="19" t="str">
        <f>N58</f>
        <v/>
      </c>
      <c r="BB64" s="19"/>
      <c r="BD64" s="19"/>
      <c r="BE64" s="19"/>
      <c r="BF64" s="19"/>
      <c r="BG64" s="19"/>
      <c r="BH64" s="19"/>
      <c r="BI64" s="32"/>
      <c r="BL64" s="109" t="s">
        <v>264</v>
      </c>
      <c r="BM64" s="110"/>
      <c r="BN64" s="110"/>
      <c r="BO64" s="110"/>
      <c r="BP64" s="110"/>
      <c r="BQ64" s="110"/>
      <c r="BR64" s="110"/>
      <c r="BS64" s="110"/>
      <c r="BT64" s="110"/>
      <c r="BU64" s="110"/>
      <c r="BV64" s="110"/>
      <c r="BW64" s="110"/>
      <c r="BX64" s="110"/>
      <c r="BY64" s="111"/>
      <c r="CI64" s="31"/>
      <c r="CJ64" s="19" t="str">
        <f t="shared" si="63"/>
        <v/>
      </c>
      <c r="CK64" s="19" t="e">
        <f>IF($AJ$52&gt;0,((K64-G64)/(K64-L64))*100,"")</f>
        <v>#DIV/0!</v>
      </c>
      <c r="CL64" s="144" t="str">
        <f t="shared" si="64"/>
        <v/>
      </c>
      <c r="CM64" s="19" t="e">
        <f>IF($AJ$52&gt;0,(M64/(K64-L64)),"")</f>
        <v>#DIV/0!</v>
      </c>
      <c r="CN64" s="145" t="str">
        <f t="shared" si="65"/>
        <v/>
      </c>
      <c r="CO64" s="19" t="e">
        <f>IF($AJ$52&gt;0,((O64/$H$14)*100),"")</f>
        <v>#VALUE!</v>
      </c>
      <c r="CP64" s="144" t="str">
        <f t="shared" si="66"/>
        <v/>
      </c>
      <c r="CQ64" s="19" t="e">
        <f>IF($AJ$52&gt;0,(Q64/$H$14)*100,"")</f>
        <v>#VALUE!</v>
      </c>
      <c r="CR64" s="144" t="str">
        <f>IF(ISNUMBER(CQ64),IF(ROUND((CQ64*10),0)-(CQ64*10)=0.5,IF(EVEN((CQ64*10))-(CQ64*10)=1.5,(EVEN((CQ64*10))-2)/10,EVEN((CQ64*10))/10),ROUND(CQ64,1)),"")</f>
        <v/>
      </c>
      <c r="CS64" s="19"/>
      <c r="CT64" s="19"/>
      <c r="CU64" s="19"/>
      <c r="CV64" s="32"/>
    </row>
    <row r="65" spans="1:100" ht="15.75" x14ac:dyDescent="0.25">
      <c r="A65" s="116"/>
      <c r="B65" s="178" t="str">
        <f>AJ114</f>
        <v/>
      </c>
      <c r="C65" s="121" t="str">
        <f>IF($AH$114="No",IF($AJ$52&gt;0,"Agency QA",""),"")</f>
        <v/>
      </c>
      <c r="D65" s="121" t="str">
        <f>IF($AH$114="No",AD114,"")</f>
        <v/>
      </c>
      <c r="E65" s="121"/>
      <c r="F65" s="224"/>
      <c r="G65" s="225"/>
      <c r="H65" s="240"/>
      <c r="I65" s="225"/>
      <c r="J65" s="225"/>
      <c r="K65" s="225"/>
      <c r="L65" s="225"/>
      <c r="M65" s="159" t="str">
        <f>IF($AJ$52&gt;0,IF(ISNUMBER(I65),(I65-J65),""),"")</f>
        <v/>
      </c>
      <c r="N65" s="149" t="str">
        <f t="shared" si="60"/>
        <v/>
      </c>
      <c r="O65" s="158" t="str">
        <f t="shared" si="61"/>
        <v/>
      </c>
      <c r="P65" s="149" t="str">
        <f t="shared" si="62"/>
        <v/>
      </c>
      <c r="Q65" s="228"/>
      <c r="R65" s="228"/>
      <c r="S65" s="165"/>
      <c r="T65" s="279"/>
      <c r="U65" s="280"/>
      <c r="V65" s="116"/>
      <c r="Z65" s="9" t="s">
        <v>12</v>
      </c>
      <c r="AC65" t="str">
        <f>D13</f>
        <v>No</v>
      </c>
      <c r="AF65" s="7"/>
      <c r="AG65" s="43"/>
      <c r="AH65" s="35"/>
      <c r="AI65" s="35"/>
      <c r="AJ65" s="35"/>
      <c r="AK65" s="36"/>
      <c r="AN65" s="18" t="s">
        <v>103</v>
      </c>
      <c r="AO65" s="19" t="s">
        <v>85</v>
      </c>
      <c r="AP65" s="19" t="s">
        <v>85</v>
      </c>
      <c r="AQ65" s="19"/>
      <c r="AR65" s="19" t="s">
        <v>103</v>
      </c>
      <c r="AS65" s="19" t="s">
        <v>85</v>
      </c>
      <c r="AT65" s="19" t="s">
        <v>85</v>
      </c>
      <c r="AU65" s="20"/>
      <c r="AW65" s="31">
        <f>B63</f>
        <v>0</v>
      </c>
      <c r="AX65" s="19" t="str">
        <f>C63</f>
        <v/>
      </c>
      <c r="AY65" s="19" t="str">
        <f>D63</f>
        <v/>
      </c>
      <c r="AZ65" s="19" t="str">
        <f>O63</f>
        <v/>
      </c>
      <c r="BA65" s="19"/>
      <c r="BB65" s="19" t="str">
        <f>IF(ISNUMBER(BA67),"Yes","No")</f>
        <v>No</v>
      </c>
      <c r="BC65" t="str">
        <f>IF(BB65="Yes",IF(ABS((AZ65-BA67))&lt;=0.03,AZ65,BA67),"")</f>
        <v/>
      </c>
      <c r="BD65" t="str">
        <f>IF(BB65="Yes",IF(ABS((AZ65-BA67))&lt;=0.03,"Contractor","Agency"),"")</f>
        <v/>
      </c>
      <c r="BE65" s="19" t="str">
        <f>IF(BD65="Contractor",BC65,"")</f>
        <v/>
      </c>
      <c r="BF65" s="19" t="str">
        <f>IF(BD65="Contractor",BA67,"")</f>
        <v/>
      </c>
      <c r="BG65" s="19" t="str">
        <f>IF(AND($BG$84="Use Agency Cores",ISNUMBER(BA67)),BA67,IF(BD65="Agency",BC65,AZ65))</f>
        <v/>
      </c>
      <c r="BH65" s="19"/>
      <c r="BI65" s="32"/>
      <c r="BL65" s="31"/>
      <c r="BM65" s="19"/>
      <c r="BN65" s="19"/>
      <c r="BO65" s="19"/>
      <c r="BP65" s="19"/>
      <c r="BQ65" s="19"/>
      <c r="BR65" s="19"/>
      <c r="BS65" s="19"/>
      <c r="BT65" s="19"/>
      <c r="BU65" s="19"/>
      <c r="BV65" s="19"/>
      <c r="BW65" s="19"/>
      <c r="BX65" s="19"/>
      <c r="BY65" s="32"/>
      <c r="CI65" s="31"/>
      <c r="CJ65" s="19" t="str">
        <f t="shared" si="63"/>
        <v/>
      </c>
      <c r="CK65" s="19" t="str">
        <f>IF($AJ$52&gt;0,IF(ISNUMBER(K65),((K65-G65)/(K65-L65))*100,""),"")</f>
        <v/>
      </c>
      <c r="CL65" s="144" t="str">
        <f t="shared" si="64"/>
        <v/>
      </c>
      <c r="CM65" s="19" t="str">
        <f>IF($AJ$52&gt;0,IF(ISNUMBER(M65),(M65/(K65-L65)),""),"")</f>
        <v/>
      </c>
      <c r="CN65" s="145" t="str">
        <f t="shared" si="65"/>
        <v/>
      </c>
      <c r="CO65" s="19" t="str">
        <f>IF($AJ$52&gt;0,IF(ISNUMBER(O65),(O65/$H$14)*100,""),"")</f>
        <v/>
      </c>
      <c r="CP65" s="144" t="str">
        <f t="shared" si="66"/>
        <v/>
      </c>
      <c r="CQ65" s="19"/>
      <c r="CR65" s="19"/>
      <c r="CS65" s="19"/>
      <c r="CT65" s="19"/>
      <c r="CU65" s="19"/>
      <c r="CV65" s="32"/>
    </row>
    <row r="66" spans="1:100" ht="15.75" thickBot="1" x14ac:dyDescent="0.3">
      <c r="A66" s="116"/>
      <c r="B66" s="130"/>
      <c r="C66" s="121" t="str">
        <f>IF($AH$114="No",IF($AJ$52&gt;0,"Agency QA",""),"")</f>
        <v/>
      </c>
      <c r="D66" s="121" t="str">
        <f>IF($AH$114="No",AE114,"")</f>
        <v/>
      </c>
      <c r="E66" s="121"/>
      <c r="F66" s="224"/>
      <c r="G66" s="225"/>
      <c r="H66" s="241"/>
      <c r="I66" s="225"/>
      <c r="J66" s="225"/>
      <c r="K66" s="225"/>
      <c r="L66" s="225"/>
      <c r="M66" s="159" t="str">
        <f>IF($AJ$52&gt;0,IF(ISNUMBER(I66),(I66-J66),""),"")</f>
        <v/>
      </c>
      <c r="N66" s="149" t="str">
        <f t="shared" si="60"/>
        <v/>
      </c>
      <c r="O66" s="158" t="str">
        <f t="shared" si="61"/>
        <v/>
      </c>
      <c r="P66" s="149" t="str">
        <f t="shared" si="62"/>
        <v/>
      </c>
      <c r="Q66" s="126" t="str">
        <f>IF(ISNUMBER(B63),IF(OR(BD65="Agency",BD66="Agency",$BG$84="Use Agency Cores"),"Agency Core(s) Used",""),"")</f>
        <v/>
      </c>
      <c r="R66" s="136"/>
      <c r="S66" s="165"/>
      <c r="T66" s="279"/>
      <c r="U66" s="280"/>
      <c r="V66" s="116"/>
      <c r="Z66" s="9" t="s">
        <v>13</v>
      </c>
      <c r="AF66" s="7"/>
      <c r="AN66" s="18" t="s">
        <v>97</v>
      </c>
      <c r="AO66" s="19" t="s">
        <v>86</v>
      </c>
      <c r="AP66" s="19" t="s">
        <v>86</v>
      </c>
      <c r="AQ66" s="19"/>
      <c r="AR66" s="19" t="s">
        <v>97</v>
      </c>
      <c r="AS66" s="19" t="s">
        <v>86</v>
      </c>
      <c r="AT66" s="19" t="s">
        <v>86</v>
      </c>
      <c r="AU66" s="20"/>
      <c r="AW66" s="31"/>
      <c r="AX66" s="19" t="str">
        <f t="shared" ref="AX66:AY72" si="67">C64</f>
        <v/>
      </c>
      <c r="AY66" s="19" t="str">
        <f t="shared" si="67"/>
        <v/>
      </c>
      <c r="AZ66" s="19" t="str">
        <f>O64</f>
        <v/>
      </c>
      <c r="BA66" s="19"/>
      <c r="BB66" s="19" t="str">
        <f>IF(ISNUMBER(BA68),"Yes","No")</f>
        <v>No</v>
      </c>
      <c r="BC66" t="str">
        <f>IF(BB66="Yes",IF(ABS((AZ66-BA68))&lt;=0.03,AZ66,BA68),"")</f>
        <v/>
      </c>
      <c r="BD66" t="str">
        <f>IF(BB66="Yes",IF(ABS((AZ66-BA68))&lt;=0.03,"Contractor","Agency"),"")</f>
        <v/>
      </c>
      <c r="BE66" s="19" t="str">
        <f>IF(BD66="Contractor",BC66,"")</f>
        <v/>
      </c>
      <c r="BF66" s="19" t="str">
        <f>IF(BD66="Contractor",BA68,"")</f>
        <v/>
      </c>
      <c r="BG66" s="19" t="str">
        <f>IF(AND($BG$84="Use Agency Cores",ISNUMBER(BA68)),BA68,IF(BD66="Agency",BC66,AZ66))</f>
        <v/>
      </c>
      <c r="BH66" s="19"/>
      <c r="BI66" s="32"/>
      <c r="BL66" s="31" t="s">
        <v>265</v>
      </c>
      <c r="BM66" s="19">
        <f>AC46/10</f>
        <v>4</v>
      </c>
      <c r="BN66" s="19"/>
      <c r="BO66" s="19"/>
      <c r="BP66" s="19"/>
      <c r="BQ66" s="19"/>
      <c r="BR66" s="19"/>
      <c r="BS66" s="19"/>
      <c r="BT66" s="19"/>
      <c r="BU66" s="19"/>
      <c r="BV66" s="19"/>
      <c r="BW66" s="19"/>
      <c r="BX66" s="19"/>
      <c r="BY66" s="32"/>
      <c r="CI66" s="31"/>
      <c r="CJ66" s="19" t="str">
        <f t="shared" si="63"/>
        <v/>
      </c>
      <c r="CK66" s="19" t="str">
        <f>IF($AJ$52&gt;0,IF(ISNUMBER(K66),((K66-G66)/(K66-L66))*100,""),"")</f>
        <v/>
      </c>
      <c r="CL66" s="144" t="str">
        <f t="shared" si="64"/>
        <v/>
      </c>
      <c r="CM66" s="19" t="str">
        <f>IF($AJ$52&gt;0,IF(ISNUMBER(M66),(M66/(K66-L66)),""),"")</f>
        <v/>
      </c>
      <c r="CN66" s="145" t="str">
        <f t="shared" si="65"/>
        <v/>
      </c>
      <c r="CO66" s="19" t="str">
        <f>IF($AJ$52&gt;0,IF(ISNUMBER(O66),(O66/$H$14)*100,""),"")</f>
        <v/>
      </c>
      <c r="CP66" s="144" t="str">
        <f t="shared" si="66"/>
        <v/>
      </c>
      <c r="CQ66" s="19"/>
      <c r="CR66" s="19"/>
      <c r="CS66" s="173"/>
      <c r="CT66" s="19"/>
      <c r="CU66" s="19"/>
      <c r="CV66" s="32"/>
    </row>
    <row r="67" spans="1:100" ht="16.5" thickTop="1" thickBot="1" x14ac:dyDescent="0.3">
      <c r="A67" s="116"/>
      <c r="B67" s="215"/>
      <c r="C67" s="129" t="str">
        <f>IF($AH$115="No",IF($AJ$52&gt;1,"Contr. QC",""),"")</f>
        <v/>
      </c>
      <c r="D67" s="129" t="str">
        <f>IF($AH$115="No",AB115,"")</f>
        <v/>
      </c>
      <c r="E67" s="222" t="s">
        <v>171</v>
      </c>
      <c r="F67" s="216"/>
      <c r="G67" s="217"/>
      <c r="H67" s="239"/>
      <c r="I67" s="217"/>
      <c r="J67" s="217"/>
      <c r="K67" s="217"/>
      <c r="L67" s="217"/>
      <c r="M67" s="152" t="str">
        <f>IF($AJ$52&gt;1,(I67-J67),"")</f>
        <v/>
      </c>
      <c r="N67" s="152" t="str">
        <f t="shared" si="60"/>
        <v/>
      </c>
      <c r="O67" s="153" t="str">
        <f t="shared" si="61"/>
        <v/>
      </c>
      <c r="P67" s="152" t="str">
        <f t="shared" si="62"/>
        <v/>
      </c>
      <c r="Q67" s="151" t="str">
        <f>IF(O69="",O67,IF((ABS(O67-O69))&gt;0.03,O69,O67))</f>
        <v/>
      </c>
      <c r="R67" s="152" t="str">
        <f>CR67</f>
        <v/>
      </c>
      <c r="S67" s="164" t="str">
        <f>IF($AH$115="No",BY39,"")</f>
        <v/>
      </c>
      <c r="T67" s="279"/>
      <c r="U67" s="280"/>
      <c r="V67" s="125"/>
      <c r="AF67" s="7"/>
      <c r="AN67" s="22" t="s">
        <v>98</v>
      </c>
      <c r="AO67" s="19" t="s">
        <v>120</v>
      </c>
      <c r="AP67" s="19" t="s">
        <v>120</v>
      </c>
      <c r="AQ67" s="19"/>
      <c r="AR67" s="23" t="s">
        <v>98</v>
      </c>
      <c r="AS67" s="19" t="s">
        <v>120</v>
      </c>
      <c r="AT67" s="19" t="s">
        <v>120</v>
      </c>
      <c r="AU67" s="20"/>
      <c r="AW67" s="31"/>
      <c r="AX67" s="19" t="str">
        <f t="shared" si="67"/>
        <v/>
      </c>
      <c r="AY67" s="19" t="str">
        <f t="shared" si="67"/>
        <v/>
      </c>
      <c r="AZ67" s="19"/>
      <c r="BA67" s="19" t="str">
        <f>O65</f>
        <v/>
      </c>
      <c r="BB67" s="19"/>
      <c r="BD67" s="19"/>
      <c r="BE67" s="19"/>
      <c r="BF67" s="19"/>
      <c r="BG67" s="19"/>
      <c r="BH67" s="19"/>
      <c r="BI67" s="32"/>
      <c r="BL67" s="31" t="s">
        <v>266</v>
      </c>
      <c r="BM67" s="19">
        <f>BM66-0.5</f>
        <v>3.5</v>
      </c>
      <c r="BN67" s="19"/>
      <c r="BO67" s="19"/>
      <c r="BP67" s="19"/>
      <c r="BQ67" s="19"/>
      <c r="BR67" s="19"/>
      <c r="BS67" s="19"/>
      <c r="BT67" s="19"/>
      <c r="BU67" s="19"/>
      <c r="BV67" s="19"/>
      <c r="BW67" s="19"/>
      <c r="BX67" s="19"/>
      <c r="BY67" s="32"/>
      <c r="CI67" s="31"/>
      <c r="CJ67" s="19" t="str">
        <f t="shared" si="63"/>
        <v/>
      </c>
      <c r="CK67" s="19" t="str">
        <f>IF($AJ$52&gt;1,((K67-G67)/(K67-L67))*100,"")</f>
        <v/>
      </c>
      <c r="CL67" s="144" t="str">
        <f t="shared" si="64"/>
        <v/>
      </c>
      <c r="CM67" s="19" t="str">
        <f>IF($AJ$52&gt;1,(M67/(K67-L67)),"")</f>
        <v/>
      </c>
      <c r="CN67" s="145" t="str">
        <f t="shared" si="65"/>
        <v/>
      </c>
      <c r="CO67" s="19" t="str">
        <f>IF($AJ$52&gt;1,((O67/$H$14)*100),"")</f>
        <v/>
      </c>
      <c r="CP67" s="144" t="str">
        <f t="shared" si="66"/>
        <v/>
      </c>
      <c r="CQ67" s="19" t="e">
        <f>IF($AJ$52&gt;0,(Q67/$H$14)*100,"")</f>
        <v>#VALUE!</v>
      </c>
      <c r="CR67" s="144" t="str">
        <f>IF(ISNUMBER(CQ67),IF(ROUND((CQ67*10),0)-(CQ67*10)=0.5,IF(EVEN((CQ67*10))-(CQ67*10)=1.5,(EVEN((CQ67*10))-2)/10,EVEN((CQ67*10))/10),ROUND(CQ67,1)),"")</f>
        <v/>
      </c>
      <c r="CS67" s="19"/>
      <c r="CT67" s="19"/>
      <c r="CU67" s="19"/>
      <c r="CV67" s="32"/>
    </row>
    <row r="68" spans="1:100" ht="16.5" thickTop="1" x14ac:dyDescent="0.25">
      <c r="A68" s="116"/>
      <c r="B68" s="178" t="str">
        <f>AI115</f>
        <v/>
      </c>
      <c r="C68" s="121" t="str">
        <f>IF($AH$115="No",IF($AJ$52&gt;1,"Contr. QC",""),"")</f>
        <v/>
      </c>
      <c r="D68" s="121" t="str">
        <f>IF($AH$115="No",AC115,"")</f>
        <v/>
      </c>
      <c r="E68" s="223" t="s">
        <v>171</v>
      </c>
      <c r="F68" s="218"/>
      <c r="G68" s="219"/>
      <c r="H68" s="240"/>
      <c r="I68" s="219"/>
      <c r="J68" s="219"/>
      <c r="K68" s="219"/>
      <c r="L68" s="219"/>
      <c r="M68" s="159" t="str">
        <f>IF($AJ$52&gt;1,(I68-J68),"")</f>
        <v/>
      </c>
      <c r="N68" s="149" t="str">
        <f t="shared" si="60"/>
        <v/>
      </c>
      <c r="O68" s="158" t="str">
        <f t="shared" si="61"/>
        <v/>
      </c>
      <c r="P68" s="149" t="str">
        <f t="shared" si="62"/>
        <v/>
      </c>
      <c r="Q68" s="228" t="str">
        <f>IF(O70="",O68,IF((ABS(O68-O70))&gt;0.03,O70,O68))</f>
        <v/>
      </c>
      <c r="R68" s="159" t="str">
        <f>CR68</f>
        <v/>
      </c>
      <c r="S68" s="165" t="str">
        <f>IF($AH$115="No",BY40,"")</f>
        <v/>
      </c>
      <c r="T68" s="325" t="s">
        <v>340</v>
      </c>
      <c r="U68" s="326"/>
      <c r="V68" s="193"/>
      <c r="AA68" s="75" t="s">
        <v>43</v>
      </c>
      <c r="AB68" s="76"/>
      <c r="AC68" s="77"/>
      <c r="AD68" s="76"/>
      <c r="AE68" s="7"/>
      <c r="AG68" s="184" t="s">
        <v>327</v>
      </c>
      <c r="AH68" s="185"/>
      <c r="AI68" s="185"/>
      <c r="AJ68" s="185"/>
      <c r="AK68" s="185"/>
      <c r="AL68" s="186"/>
      <c r="AN68" s="18"/>
      <c r="AO68" s="19" t="s">
        <v>107</v>
      </c>
      <c r="AP68" s="19" t="s">
        <v>108</v>
      </c>
      <c r="AQ68" s="19"/>
      <c r="AR68" s="19"/>
      <c r="AS68" s="19" t="s">
        <v>107</v>
      </c>
      <c r="AT68" s="19" t="s">
        <v>108</v>
      </c>
      <c r="AU68" s="20"/>
      <c r="AW68" s="31"/>
      <c r="AX68" s="19" t="str">
        <f t="shared" si="67"/>
        <v/>
      </c>
      <c r="AY68" s="19" t="str">
        <f t="shared" si="67"/>
        <v/>
      </c>
      <c r="AZ68" s="19"/>
      <c r="BA68" s="19" t="str">
        <f>O66</f>
        <v/>
      </c>
      <c r="BB68" s="19"/>
      <c r="BD68" s="19"/>
      <c r="BE68" s="19"/>
      <c r="BF68" s="19"/>
      <c r="BG68" s="19"/>
      <c r="BH68" s="19"/>
      <c r="BI68" s="32"/>
      <c r="BL68" s="31"/>
      <c r="BM68" s="19"/>
      <c r="BN68" s="19"/>
      <c r="BO68" s="19"/>
      <c r="BP68" s="19"/>
      <c r="BQ68" s="19"/>
      <c r="BR68" s="19"/>
      <c r="BS68" s="19"/>
      <c r="BT68" s="19"/>
      <c r="BU68" s="19"/>
      <c r="BV68" s="19"/>
      <c r="BW68" s="19"/>
      <c r="BX68" s="19"/>
      <c r="BY68" s="32"/>
      <c r="CI68" s="31"/>
      <c r="CJ68" s="19" t="str">
        <f t="shared" si="63"/>
        <v/>
      </c>
      <c r="CK68" s="19" t="str">
        <f>IF($AJ$52&gt;1,((K68-G68)/(K68-L68))*100,"")</f>
        <v/>
      </c>
      <c r="CL68" s="144" t="str">
        <f t="shared" si="64"/>
        <v/>
      </c>
      <c r="CM68" s="19" t="str">
        <f>IF($AJ$52&gt;1,(M68/(K68-L68)),"")</f>
        <v/>
      </c>
      <c r="CN68" s="145" t="str">
        <f t="shared" si="65"/>
        <v/>
      </c>
      <c r="CO68" s="19" t="str">
        <f>IF($AJ$52&gt;1,((O68/$H$14)*100),"")</f>
        <v/>
      </c>
      <c r="CP68" s="144" t="str">
        <f t="shared" si="66"/>
        <v/>
      </c>
      <c r="CQ68" s="19" t="e">
        <f>IF($AJ$52&gt;0,(Q68/$H$14)*100,"")</f>
        <v>#VALUE!</v>
      </c>
      <c r="CR68" s="144" t="str">
        <f>IF(ISNUMBER(CQ68),IF(ROUND((CQ68*10),0)-(CQ68*10)=0.5,IF(EVEN((CQ68*10))-(CQ68*10)=1.5,(EVEN((CQ68*10))-2)/10,EVEN((CQ68*10))/10),ROUND(CQ68,1)),"")</f>
        <v/>
      </c>
      <c r="CS68" s="19"/>
      <c r="CT68" s="19"/>
      <c r="CU68" s="19"/>
      <c r="CV68" s="32"/>
    </row>
    <row r="69" spans="1:100" ht="15.75" x14ac:dyDescent="0.25">
      <c r="A69" s="116"/>
      <c r="B69" s="178" t="str">
        <f>AJ115</f>
        <v/>
      </c>
      <c r="C69" s="121" t="str">
        <f>IF($AH$115="No",IF($AJ$52&gt;1,"Agency QA",""),"")</f>
        <v/>
      </c>
      <c r="D69" s="121" t="str">
        <f>IF($AH$115="No",AD115,"")</f>
        <v/>
      </c>
      <c r="E69" s="121"/>
      <c r="F69" s="224"/>
      <c r="G69" s="225"/>
      <c r="H69" s="240"/>
      <c r="I69" s="225"/>
      <c r="J69" s="225"/>
      <c r="K69" s="225"/>
      <c r="L69" s="225"/>
      <c r="M69" s="159" t="str">
        <f>IF($AJ$52&gt;1,(I69-J69),"")</f>
        <v/>
      </c>
      <c r="N69" s="149" t="str">
        <f t="shared" si="60"/>
        <v/>
      </c>
      <c r="O69" s="158" t="str">
        <f t="shared" si="61"/>
        <v/>
      </c>
      <c r="P69" s="149" t="str">
        <f t="shared" si="62"/>
        <v/>
      </c>
      <c r="Q69" s="228"/>
      <c r="R69" s="228"/>
      <c r="S69" s="165"/>
      <c r="T69" s="195" t="s">
        <v>338</v>
      </c>
      <c r="U69" s="237" t="e">
        <f>(AVERAGE(P22,P26,P30,P34,P38,P42,P46,P50,P54,P58)*62.3)</f>
        <v>#DIV/0!</v>
      </c>
      <c r="V69" s="116"/>
      <c r="AA69" s="9"/>
      <c r="AB69" s="7"/>
      <c r="AC69" s="10"/>
      <c r="AD69" s="7"/>
      <c r="AE69" s="7"/>
      <c r="AG69" s="18"/>
      <c r="AH69" s="19"/>
      <c r="AI69" s="19"/>
      <c r="AJ69" s="19"/>
      <c r="AK69" s="19"/>
      <c r="AL69" s="20"/>
      <c r="AN69" s="18">
        <v>1</v>
      </c>
      <c r="AO69" s="19">
        <v>2</v>
      </c>
      <c r="AP69" s="19">
        <v>3</v>
      </c>
      <c r="AQ69" s="19"/>
      <c r="AR69" s="19">
        <v>1</v>
      </c>
      <c r="AS69" s="19">
        <v>2</v>
      </c>
      <c r="AT69" s="19">
        <v>3</v>
      </c>
      <c r="AU69" s="20"/>
      <c r="AW69" s="31">
        <f>B67</f>
        <v>0</v>
      </c>
      <c r="AX69" s="19" t="str">
        <f t="shared" si="67"/>
        <v/>
      </c>
      <c r="AY69" s="19" t="str">
        <f t="shared" si="67"/>
        <v/>
      </c>
      <c r="AZ69" s="19" t="str">
        <f>O67</f>
        <v/>
      </c>
      <c r="BA69" s="19"/>
      <c r="BB69" s="19" t="str">
        <f>IF(ISNUMBER(BA71),"Yes","No")</f>
        <v>No</v>
      </c>
      <c r="BC69" t="str">
        <f>IF(BB69="Yes",IF(ABS((AZ69-BA71))&lt;=0.03,AZ69,BA71),"")</f>
        <v/>
      </c>
      <c r="BD69" t="str">
        <f>IF(BB69="Yes",IF(ABS((AZ69-BA71))&lt;=0.03,"Contractor","Agency"),"")</f>
        <v/>
      </c>
      <c r="BE69" s="19" t="str">
        <f>IF(BD69="Contractor",BC69,"")</f>
        <v/>
      </c>
      <c r="BF69" s="19" t="str">
        <f>IF(BD69="Contractor",BA71,"")</f>
        <v/>
      </c>
      <c r="BG69" s="19" t="str">
        <f>IF(AND($BG$84="Use Agency Cores",ISNUMBER(BA71)),BA71,IF(BD69="Agency",BC69,AZ69))</f>
        <v/>
      </c>
      <c r="BH69" s="19"/>
      <c r="BI69" s="32"/>
      <c r="BL69" s="31"/>
      <c r="BM69" s="19"/>
      <c r="BN69" s="19"/>
      <c r="BO69" s="19"/>
      <c r="BP69" s="19"/>
      <c r="BQ69" s="19"/>
      <c r="BR69" s="19"/>
      <c r="BS69" s="19"/>
      <c r="BT69" s="19"/>
      <c r="BU69" s="19"/>
      <c r="BV69" s="19"/>
      <c r="BW69" s="19"/>
      <c r="BX69" s="19"/>
      <c r="BY69" s="32"/>
      <c r="CI69" s="31"/>
      <c r="CJ69" s="19" t="str">
        <f t="shared" si="63"/>
        <v/>
      </c>
      <c r="CK69" s="19" t="str">
        <f>IF($AJ$52&gt;1,IF(ISNUMBER(K69),((K69-G69)/(K69-L69))*100,""),"")</f>
        <v/>
      </c>
      <c r="CL69" s="144" t="str">
        <f t="shared" si="64"/>
        <v/>
      </c>
      <c r="CM69" s="19" t="str">
        <f>IF($AJ$52&gt;1,IF(ISNUMBER(M69),(M69/(K69-L69)),""),"")</f>
        <v/>
      </c>
      <c r="CN69" s="145" t="str">
        <f t="shared" si="65"/>
        <v/>
      </c>
      <c r="CO69" s="19" t="str">
        <f>IF($AJ$52&gt;1,IF(ISNUMBER(O69),(O69/$H$14)*100,""),"")</f>
        <v/>
      </c>
      <c r="CP69" s="144" t="str">
        <f t="shared" si="66"/>
        <v/>
      </c>
      <c r="CQ69" s="19"/>
      <c r="CR69" s="19"/>
      <c r="CS69" s="19"/>
      <c r="CT69" s="19"/>
      <c r="CU69" s="19"/>
      <c r="CV69" s="32"/>
    </row>
    <row r="70" spans="1:100" ht="15.75" thickBot="1" x14ac:dyDescent="0.3">
      <c r="A70" s="116"/>
      <c r="B70" s="133"/>
      <c r="C70" s="134" t="str">
        <f>IF($AH$115="No",IF($AJ$52&gt;1,"Agency QA",""),"")</f>
        <v/>
      </c>
      <c r="D70" s="134" t="str">
        <f>IF($AH$115="No",AE115,"")</f>
        <v/>
      </c>
      <c r="E70" s="134"/>
      <c r="F70" s="220"/>
      <c r="G70" s="221"/>
      <c r="H70" s="241"/>
      <c r="I70" s="221"/>
      <c r="J70" s="221"/>
      <c r="K70" s="221"/>
      <c r="L70" s="221"/>
      <c r="M70" s="154" t="str">
        <f>IF($AJ$52&gt;1,(I70-J70),"")</f>
        <v/>
      </c>
      <c r="N70" s="154" t="str">
        <f t="shared" si="60"/>
        <v/>
      </c>
      <c r="O70" s="155" t="str">
        <f t="shared" si="61"/>
        <v/>
      </c>
      <c r="P70" s="154" t="str">
        <f t="shared" si="62"/>
        <v/>
      </c>
      <c r="Q70" s="157" t="str">
        <f>IF(ISNUMBER(B67),IF(OR(BD69="Agency",BD70="Agency",$BG$84="Use Agency Cores"),"Agency Core(s) Used",""),"")</f>
        <v/>
      </c>
      <c r="R70" s="135"/>
      <c r="S70" s="166"/>
      <c r="T70" s="195" t="s">
        <v>339</v>
      </c>
      <c r="U70" s="237" t="e">
        <f>U69*0.75</f>
        <v>#DIV/0!</v>
      </c>
      <c r="V70" s="116"/>
      <c r="AA70" s="12" t="str">
        <f>CONCATENATE(AF17,AE24,AE33,AE40,AC46,AC50)</f>
        <v>SPWEA340C</v>
      </c>
      <c r="AB70" s="7"/>
      <c r="AC70" s="10"/>
      <c r="AD70" s="7"/>
      <c r="AE70" s="7"/>
      <c r="AG70" s="18" t="s">
        <v>328</v>
      </c>
      <c r="AH70" s="19"/>
      <c r="AI70" s="19" t="str">
        <f>AD73</f>
        <v>Tons</v>
      </c>
      <c r="AJ70" s="19"/>
      <c r="AK70" s="19"/>
      <c r="AL70" s="20"/>
      <c r="AN70" s="18">
        <v>0</v>
      </c>
      <c r="AO70" s="19">
        <v>0.85</v>
      </c>
      <c r="AP70" s="19">
        <v>0.85</v>
      </c>
      <c r="AQ70" s="19"/>
      <c r="AR70" s="19">
        <v>0</v>
      </c>
      <c r="AS70" s="19">
        <v>0.85</v>
      </c>
      <c r="AT70" s="19">
        <v>0.85</v>
      </c>
      <c r="AU70" s="20"/>
      <c r="AW70" s="31"/>
      <c r="AX70" s="19" t="str">
        <f t="shared" si="67"/>
        <v/>
      </c>
      <c r="AY70" s="19" t="str">
        <f t="shared" si="67"/>
        <v/>
      </c>
      <c r="AZ70" s="19" t="str">
        <f>O68</f>
        <v/>
      </c>
      <c r="BA70" s="19"/>
      <c r="BB70" s="19" t="str">
        <f>IF(ISNUMBER(BA72),"Yes","No")</f>
        <v>No</v>
      </c>
      <c r="BC70" t="str">
        <f>IF(BB70="Yes",IF(ABS((AZ70-BA72))&lt;=0.03,AZ70,BA72),"")</f>
        <v/>
      </c>
      <c r="BD70" t="str">
        <f>IF(BB70="Yes",IF(ABS((AZ70-BA72))&lt;=0.03,"Contractor","Agency"),"")</f>
        <v/>
      </c>
      <c r="BE70" s="19" t="str">
        <f>IF(BD70="Contractor",BC70,"")</f>
        <v/>
      </c>
      <c r="BF70" s="19" t="str">
        <f>IF(BD70="Contractor",BA72,"")</f>
        <v/>
      </c>
      <c r="BG70" s="19" t="str">
        <f>IF(AND($BG$84="Use Agency Cores",ISNUMBER(BA72)),BA72,IF(BD70="Agency",BC70,AZ70))</f>
        <v/>
      </c>
      <c r="BH70" s="19"/>
      <c r="BI70" s="32"/>
      <c r="BL70" s="31" t="s">
        <v>152</v>
      </c>
      <c r="BM70" s="19">
        <f t="shared" ref="BM70:BX70" si="68">H7</f>
        <v>0</v>
      </c>
      <c r="BN70" s="19">
        <f t="shared" si="68"/>
        <v>0</v>
      </c>
      <c r="BO70" s="19">
        <f t="shared" si="68"/>
        <v>0</v>
      </c>
      <c r="BP70" s="19">
        <f t="shared" si="68"/>
        <v>0</v>
      </c>
      <c r="BQ70" s="19">
        <f t="shared" si="68"/>
        <v>0</v>
      </c>
      <c r="BR70" s="19">
        <f t="shared" si="68"/>
        <v>0</v>
      </c>
      <c r="BS70" s="19">
        <f t="shared" si="68"/>
        <v>0</v>
      </c>
      <c r="BT70" s="19">
        <f t="shared" si="68"/>
        <v>0</v>
      </c>
      <c r="BU70" s="19">
        <f t="shared" si="68"/>
        <v>0</v>
      </c>
      <c r="BV70" s="19">
        <f t="shared" si="68"/>
        <v>0</v>
      </c>
      <c r="BW70" s="19">
        <f t="shared" si="68"/>
        <v>0</v>
      </c>
      <c r="BX70" s="19">
        <f t="shared" si="68"/>
        <v>0</v>
      </c>
      <c r="BY70" s="32"/>
      <c r="CI70" s="31"/>
      <c r="CJ70" s="19" t="str">
        <f t="shared" si="63"/>
        <v/>
      </c>
      <c r="CK70" s="19" t="str">
        <f>IF($AJ$52&gt;1,IF(ISNUMBER(K70),((K70-G70)/(K70-L70))*100,""),"")</f>
        <v/>
      </c>
      <c r="CL70" s="144" t="str">
        <f t="shared" si="64"/>
        <v/>
      </c>
      <c r="CM70" s="19" t="str">
        <f>IF($AJ$52&gt;1,IF(ISNUMBER(M70),(M70/(K70-L70)),""),"")</f>
        <v/>
      </c>
      <c r="CN70" s="145" t="str">
        <f t="shared" si="65"/>
        <v/>
      </c>
      <c r="CO70" s="19" t="str">
        <f>IF($AJ$52&gt;1,IF(ISNUMBER(O70),(O70/$H$14)*100,""),"")</f>
        <v/>
      </c>
      <c r="CP70" s="144" t="str">
        <f t="shared" si="66"/>
        <v/>
      </c>
      <c r="CQ70" s="19"/>
      <c r="CR70" s="19"/>
      <c r="CS70" s="173"/>
      <c r="CT70" s="19"/>
      <c r="CU70" s="19"/>
      <c r="CV70" s="32"/>
    </row>
    <row r="71" spans="1:100" ht="17.25" thickTop="1" thickBot="1" x14ac:dyDescent="0.3">
      <c r="A71" s="116"/>
      <c r="B71" s="116" t="s">
        <v>310</v>
      </c>
      <c r="C71" s="140" t="str">
        <f>IF(AD76="Yes","1% Reduced Density,  No Incentive Payment","")</f>
        <v/>
      </c>
      <c r="D71" s="116"/>
      <c r="E71" s="116"/>
      <c r="F71" s="116"/>
      <c r="G71" s="116"/>
      <c r="H71" s="139" t="e">
        <f>IF($BQ$76="Yes","Day's Weighted Average Air Void Less than Minumum Air Voids Required, No Incentives","")</f>
        <v>#DIV/0!</v>
      </c>
      <c r="I71" s="116"/>
      <c r="J71" s="116"/>
      <c r="K71" s="116"/>
      <c r="L71" s="116"/>
      <c r="M71" s="116"/>
      <c r="N71" s="116"/>
      <c r="O71" s="116"/>
      <c r="P71" s="116"/>
      <c r="Q71" s="116"/>
      <c r="R71" s="116"/>
      <c r="S71" s="116"/>
      <c r="T71" s="116"/>
      <c r="U71" s="116"/>
      <c r="V71" s="116"/>
      <c r="AG71" s="18"/>
      <c r="AH71" s="19"/>
      <c r="AI71" s="35"/>
      <c r="AJ71" s="35"/>
      <c r="AK71" s="35"/>
      <c r="AL71" s="20"/>
      <c r="AN71" s="18">
        <v>87</v>
      </c>
      <c r="AO71" s="19">
        <v>0.91</v>
      </c>
      <c r="AP71" s="19">
        <v>0.91</v>
      </c>
      <c r="AQ71" s="19"/>
      <c r="AR71" s="19">
        <v>85</v>
      </c>
      <c r="AS71" s="19">
        <v>0.91</v>
      </c>
      <c r="AT71" s="19">
        <v>0.91</v>
      </c>
      <c r="AU71" s="20"/>
      <c r="AW71" s="31"/>
      <c r="AX71" s="19" t="str">
        <f t="shared" si="67"/>
        <v/>
      </c>
      <c r="AY71" s="19" t="str">
        <f t="shared" si="67"/>
        <v/>
      </c>
      <c r="AZ71" s="19"/>
      <c r="BA71" s="19" t="str">
        <f>O69</f>
        <v/>
      </c>
      <c r="BB71" s="19"/>
      <c r="BD71" s="19"/>
      <c r="BE71" s="19"/>
      <c r="BF71" s="19"/>
      <c r="BG71" s="19"/>
      <c r="BH71" s="19"/>
      <c r="BI71" s="32"/>
      <c r="BL71" s="31" t="s">
        <v>55</v>
      </c>
      <c r="BM71" s="19" t="str">
        <f t="shared" ref="BM71:BX72" si="69">H10</f>
        <v/>
      </c>
      <c r="BN71" s="19" t="str">
        <f t="shared" si="69"/>
        <v/>
      </c>
      <c r="BO71" s="19" t="str">
        <f t="shared" si="69"/>
        <v/>
      </c>
      <c r="BP71" s="19" t="str">
        <f t="shared" si="69"/>
        <v/>
      </c>
      <c r="BQ71" s="19" t="str">
        <f t="shared" si="69"/>
        <v/>
      </c>
      <c r="BR71" s="19" t="str">
        <f t="shared" si="69"/>
        <v/>
      </c>
      <c r="BS71" s="19" t="str">
        <f t="shared" si="69"/>
        <v/>
      </c>
      <c r="BT71" s="19" t="str">
        <f t="shared" si="69"/>
        <v/>
      </c>
      <c r="BU71" s="19" t="str">
        <f t="shared" si="69"/>
        <v/>
      </c>
      <c r="BV71" s="19" t="str">
        <f t="shared" si="69"/>
        <v/>
      </c>
      <c r="BW71" s="19" t="str">
        <f t="shared" si="69"/>
        <v/>
      </c>
      <c r="BX71" s="19" t="str">
        <f t="shared" si="69"/>
        <v/>
      </c>
      <c r="BY71" s="32"/>
      <c r="CI71" s="31"/>
      <c r="CJ71" s="19"/>
      <c r="CK71" s="19"/>
      <c r="CL71" s="19"/>
      <c r="CM71" s="19"/>
      <c r="CN71" s="19"/>
      <c r="CO71" s="19"/>
      <c r="CP71" s="19"/>
      <c r="CQ71" s="19"/>
      <c r="CR71" s="19"/>
      <c r="CS71" s="19"/>
      <c r="CT71" s="19"/>
      <c r="CU71" s="19"/>
      <c r="CV71" s="32"/>
    </row>
    <row r="72" spans="1:100" x14ac:dyDescent="0.25">
      <c r="A72" s="116"/>
      <c r="B72" s="116"/>
      <c r="C72" s="294"/>
      <c r="D72" s="295"/>
      <c r="E72" s="295"/>
      <c r="F72" s="295"/>
      <c r="G72" s="295"/>
      <c r="H72" s="295"/>
      <c r="I72" s="295"/>
      <c r="J72" s="295"/>
      <c r="K72" s="295"/>
      <c r="L72" s="295"/>
      <c r="M72" s="295"/>
      <c r="N72" s="295"/>
      <c r="O72" s="295"/>
      <c r="P72" s="295"/>
      <c r="Q72" s="295"/>
      <c r="R72" s="296"/>
      <c r="S72" s="323" t="s">
        <v>453</v>
      </c>
      <c r="T72" s="311"/>
      <c r="U72" s="226"/>
      <c r="V72" s="116"/>
      <c r="Z72" s="78" t="s">
        <v>62</v>
      </c>
      <c r="AA72" s="68"/>
      <c r="AB72" s="68"/>
      <c r="AC72" s="68"/>
      <c r="AD72" s="78" t="s">
        <v>65</v>
      </c>
      <c r="AE72" s="68"/>
      <c r="AG72" s="187" t="s">
        <v>329</v>
      </c>
      <c r="AH72" s="182"/>
      <c r="AI72" s="31" t="s">
        <v>330</v>
      </c>
      <c r="AJ72" s="19"/>
      <c r="AK72" s="32"/>
      <c r="AL72" s="20"/>
      <c r="AN72" s="18">
        <v>87.7</v>
      </c>
      <c r="AO72" s="19">
        <v>0.95</v>
      </c>
      <c r="AP72" s="19">
        <v>0.95</v>
      </c>
      <c r="AQ72" s="19"/>
      <c r="AR72" s="19">
        <v>86</v>
      </c>
      <c r="AS72" s="19">
        <v>0.95</v>
      </c>
      <c r="AT72" s="19">
        <v>0.95</v>
      </c>
      <c r="AU72" s="20"/>
      <c r="AW72" s="31"/>
      <c r="AX72" s="19" t="str">
        <f t="shared" si="67"/>
        <v/>
      </c>
      <c r="AY72" s="19" t="str">
        <f t="shared" si="67"/>
        <v/>
      </c>
      <c r="AZ72" s="19"/>
      <c r="BA72" s="19" t="str">
        <f>O70</f>
        <v/>
      </c>
      <c r="BB72" s="19"/>
      <c r="BD72" s="19"/>
      <c r="BE72" s="19"/>
      <c r="BF72" s="19"/>
      <c r="BG72" s="19"/>
      <c r="BH72" s="19"/>
      <c r="BI72" s="32"/>
      <c r="BL72" s="31" t="s">
        <v>57</v>
      </c>
      <c r="BM72" s="19">
        <f t="shared" si="69"/>
        <v>0</v>
      </c>
      <c r="BN72" s="19">
        <f t="shared" si="69"/>
        <v>0</v>
      </c>
      <c r="BO72" s="19">
        <f t="shared" si="69"/>
        <v>0</v>
      </c>
      <c r="BP72" s="19">
        <f t="shared" si="69"/>
        <v>0</v>
      </c>
      <c r="BQ72" s="19">
        <f t="shared" si="69"/>
        <v>0</v>
      </c>
      <c r="BR72" s="19">
        <f t="shared" si="69"/>
        <v>0</v>
      </c>
      <c r="BS72" s="19">
        <f t="shared" si="69"/>
        <v>0</v>
      </c>
      <c r="BT72" s="19">
        <f t="shared" si="69"/>
        <v>0</v>
      </c>
      <c r="BU72" s="19">
        <f t="shared" si="69"/>
        <v>0</v>
      </c>
      <c r="BV72" s="19">
        <f t="shared" si="69"/>
        <v>0</v>
      </c>
      <c r="BW72" s="19">
        <f t="shared" si="69"/>
        <v>0</v>
      </c>
      <c r="BX72" s="19">
        <f t="shared" si="69"/>
        <v>0</v>
      </c>
      <c r="BY72" s="32"/>
      <c r="CI72" s="31"/>
      <c r="CJ72" s="19"/>
      <c r="CK72" s="19"/>
      <c r="CL72" s="19"/>
      <c r="CM72" s="19"/>
      <c r="CN72" s="19"/>
      <c r="CO72" s="19"/>
      <c r="CP72" s="19"/>
      <c r="CQ72" s="19"/>
      <c r="CR72" s="19"/>
      <c r="CS72" s="19"/>
      <c r="CT72" s="19"/>
      <c r="CU72" s="19"/>
      <c r="CV72" s="32"/>
    </row>
    <row r="73" spans="1:100" x14ac:dyDescent="0.25">
      <c r="A73" s="116"/>
      <c r="B73" s="141" t="s">
        <v>309</v>
      </c>
      <c r="C73" s="297"/>
      <c r="D73" s="298"/>
      <c r="E73" s="298"/>
      <c r="F73" s="298"/>
      <c r="G73" s="298"/>
      <c r="H73" s="298"/>
      <c r="I73" s="298"/>
      <c r="J73" s="298"/>
      <c r="K73" s="298"/>
      <c r="L73" s="298"/>
      <c r="M73" s="298"/>
      <c r="N73" s="298"/>
      <c r="O73" s="298"/>
      <c r="P73" s="298"/>
      <c r="Q73" s="298"/>
      <c r="R73" s="299"/>
      <c r="S73" s="323" t="s">
        <v>454</v>
      </c>
      <c r="T73" s="311"/>
      <c r="U73" s="227"/>
      <c r="V73" s="116"/>
      <c r="Z73" t="s">
        <v>63</v>
      </c>
      <c r="AD73" t="str">
        <f>D14</f>
        <v>Tons</v>
      </c>
      <c r="AG73" s="18"/>
      <c r="AH73" s="32"/>
      <c r="AI73" s="31"/>
      <c r="AJ73" s="19"/>
      <c r="AK73" s="32"/>
      <c r="AL73" s="20"/>
      <c r="AN73" s="18">
        <v>88.5</v>
      </c>
      <c r="AO73" s="19">
        <v>0.98</v>
      </c>
      <c r="AP73" s="19">
        <v>0.98</v>
      </c>
      <c r="AQ73" s="19"/>
      <c r="AR73" s="19">
        <v>87</v>
      </c>
      <c r="AS73" s="19">
        <v>0.98</v>
      </c>
      <c r="AT73" s="19">
        <v>0.98</v>
      </c>
      <c r="AU73" s="20"/>
      <c r="AW73" s="31"/>
      <c r="AX73" s="19"/>
      <c r="AY73" s="19"/>
      <c r="AZ73" s="19"/>
      <c r="BA73" s="19"/>
      <c r="BB73" s="19"/>
      <c r="BD73" s="19"/>
      <c r="BE73" s="19" t="s">
        <v>317</v>
      </c>
      <c r="BF73" s="19" t="s">
        <v>181</v>
      </c>
      <c r="BG73" s="19"/>
      <c r="BH73" s="19"/>
      <c r="BI73" s="32"/>
      <c r="BL73" s="31"/>
      <c r="BM73" s="19"/>
      <c r="BN73" s="19"/>
      <c r="BO73" s="19"/>
      <c r="BP73" s="19"/>
      <c r="BQ73" s="19"/>
      <c r="BR73" s="19"/>
      <c r="BS73" s="19"/>
      <c r="BT73" s="19"/>
      <c r="BU73" s="19"/>
      <c r="BV73" s="19"/>
      <c r="BW73" s="19"/>
      <c r="BX73" s="19"/>
      <c r="BY73" s="32"/>
      <c r="CI73" s="31"/>
      <c r="CJ73" s="19"/>
      <c r="CK73" s="19"/>
      <c r="CL73" s="19"/>
      <c r="CM73" s="19"/>
      <c r="CN73" s="19"/>
      <c r="CO73" s="19"/>
      <c r="CP73" s="19"/>
      <c r="CQ73" s="19"/>
      <c r="CR73" s="19"/>
      <c r="CS73" s="19"/>
      <c r="CT73" s="19"/>
      <c r="CU73" s="19"/>
      <c r="CV73" s="32"/>
    </row>
    <row r="74" spans="1:100" x14ac:dyDescent="0.25">
      <c r="A74" s="116"/>
      <c r="B74" s="141"/>
      <c r="C74" s="297"/>
      <c r="D74" s="298"/>
      <c r="E74" s="298"/>
      <c r="F74" s="298"/>
      <c r="G74" s="298"/>
      <c r="H74" s="298"/>
      <c r="I74" s="298"/>
      <c r="J74" s="298"/>
      <c r="K74" s="298"/>
      <c r="L74" s="298"/>
      <c r="M74" s="298"/>
      <c r="N74" s="298"/>
      <c r="O74" s="298"/>
      <c r="P74" s="298"/>
      <c r="Q74" s="298"/>
      <c r="R74" s="299"/>
      <c r="S74" s="323" t="s">
        <v>455</v>
      </c>
      <c r="T74" s="324"/>
      <c r="U74" s="227"/>
      <c r="V74" s="116"/>
      <c r="Z74" t="s">
        <v>64</v>
      </c>
      <c r="AD74" t="str">
        <f>IF(AD73="Sq Yd inch","True","False")</f>
        <v>False</v>
      </c>
      <c r="AG74" s="188">
        <f>IF(D14="Tons",P3,"")</f>
        <v>0</v>
      </c>
      <c r="AH74" s="32"/>
      <c r="AI74" s="31" t="s">
        <v>331</v>
      </c>
      <c r="AJ74" s="19" t="s">
        <v>332</v>
      </c>
      <c r="AK74" s="32"/>
      <c r="AL74" s="20"/>
      <c r="AN74" s="18">
        <v>89.5</v>
      </c>
      <c r="AO74" s="19">
        <v>1</v>
      </c>
      <c r="AP74" s="19">
        <v>1</v>
      </c>
      <c r="AQ74" s="19"/>
      <c r="AR74" s="19">
        <v>88.1</v>
      </c>
      <c r="AS74" s="19">
        <v>1</v>
      </c>
      <c r="AT74" s="19">
        <v>1</v>
      </c>
      <c r="AU74" s="20"/>
      <c r="AW74" s="31"/>
      <c r="BA74" s="19"/>
      <c r="BB74" s="19" t="s">
        <v>150</v>
      </c>
      <c r="BC74" s="19"/>
      <c r="BD74" s="19"/>
      <c r="BE74" s="19">
        <f>COUNT(BE25:BE72)</f>
        <v>0</v>
      </c>
      <c r="BF74" s="19">
        <f>COUNT(BF25:BF72)</f>
        <v>0</v>
      </c>
      <c r="BG74" s="19"/>
      <c r="BH74" s="19"/>
      <c r="BI74" s="32"/>
      <c r="BL74" s="31" t="s">
        <v>326</v>
      </c>
      <c r="BM74" s="19"/>
      <c r="BN74" s="19"/>
      <c r="BO74" s="19" t="e">
        <f>SUMPRODUCT((BM72:BX72),(BM71:BX71))/SUM(BM71:BX71)</f>
        <v>#DIV/0!</v>
      </c>
      <c r="BP74" s="19"/>
      <c r="BQ74" s="19" t="s">
        <v>325</v>
      </c>
      <c r="BR74" s="19"/>
      <c r="BS74" s="19"/>
      <c r="BT74" s="19"/>
      <c r="BU74" s="19" t="e">
        <f>IF(ROUND((BO74*10),0)-(BO74*10)=0.5,IF(EVEN((BO74*10))-(BO74*10)=1.5,(EVEN((BO74*10))-2)/1000,EVEN((BO74*10))/10),ROUND(BO74,1))</f>
        <v>#DIV/0!</v>
      </c>
      <c r="BV74" s="19"/>
      <c r="BW74" s="19"/>
      <c r="BX74" s="19"/>
      <c r="BY74" s="32"/>
      <c r="CI74" s="31"/>
      <c r="CJ74" s="19"/>
      <c r="CK74" s="19"/>
      <c r="CL74" s="19"/>
      <c r="CM74" s="19"/>
      <c r="CN74" s="19"/>
      <c r="CO74" s="19"/>
      <c r="CP74" s="19"/>
      <c r="CQ74" s="19"/>
      <c r="CR74" s="19"/>
      <c r="CS74" s="19"/>
      <c r="CT74" s="19"/>
      <c r="CU74" s="19"/>
      <c r="CV74" s="32"/>
    </row>
    <row r="75" spans="1:100" ht="15.75" thickBot="1" x14ac:dyDescent="0.3">
      <c r="A75" s="116"/>
      <c r="B75" s="141"/>
      <c r="C75" s="300"/>
      <c r="D75" s="301"/>
      <c r="E75" s="301"/>
      <c r="F75" s="301"/>
      <c r="G75" s="301"/>
      <c r="H75" s="301"/>
      <c r="I75" s="301"/>
      <c r="J75" s="301"/>
      <c r="K75" s="301"/>
      <c r="L75" s="301"/>
      <c r="M75" s="301"/>
      <c r="N75" s="301"/>
      <c r="O75" s="301"/>
      <c r="P75" s="301"/>
      <c r="Q75" s="301"/>
      <c r="R75" s="302"/>
      <c r="S75" s="116"/>
      <c r="T75" s="116"/>
      <c r="U75" s="116"/>
      <c r="V75" s="116"/>
      <c r="Z75" s="79" t="s">
        <v>168</v>
      </c>
      <c r="AA75" s="80"/>
      <c r="AB75" s="80"/>
      <c r="AC75" s="80"/>
      <c r="AD75" s="79" t="s">
        <v>169</v>
      </c>
      <c r="AE75" s="80"/>
      <c r="AG75" s="18"/>
      <c r="AH75" s="32"/>
      <c r="AI75" s="31" t="s">
        <v>202</v>
      </c>
      <c r="AJ75" s="19" t="s">
        <v>333</v>
      </c>
      <c r="AK75" s="32"/>
      <c r="AL75" s="20"/>
      <c r="AN75" s="18">
        <v>91.6</v>
      </c>
      <c r="AO75" s="19">
        <v>1.01</v>
      </c>
      <c r="AP75" s="19">
        <v>1.02</v>
      </c>
      <c r="AQ75" s="19"/>
      <c r="AR75" s="19">
        <v>90.1</v>
      </c>
      <c r="AS75" s="19">
        <v>1.01</v>
      </c>
      <c r="AT75" s="19">
        <v>1.02</v>
      </c>
      <c r="AU75" s="20"/>
      <c r="AW75" s="31"/>
      <c r="AX75" s="19"/>
      <c r="AY75" s="19"/>
      <c r="AZ75" s="19"/>
      <c r="BA75" s="19" t="s">
        <v>318</v>
      </c>
      <c r="BD75" s="19"/>
      <c r="BE75" s="19"/>
      <c r="BF75" s="19">
        <f>BF74</f>
        <v>0</v>
      </c>
      <c r="BG75" s="19"/>
      <c r="BH75" s="19"/>
      <c r="BI75" s="32"/>
      <c r="BL75" s="31"/>
      <c r="BM75" s="19"/>
      <c r="BN75" s="19"/>
      <c r="BO75" s="19"/>
      <c r="BP75" s="19"/>
      <c r="BQ75" s="19"/>
      <c r="BR75" s="19"/>
      <c r="BS75" s="19"/>
      <c r="BT75" s="19"/>
      <c r="BU75" s="19"/>
      <c r="BV75" s="19"/>
      <c r="BW75" s="19"/>
      <c r="BX75" s="19"/>
      <c r="BY75" s="32"/>
      <c r="CI75" s="31"/>
      <c r="CJ75" s="19"/>
      <c r="CK75" s="19"/>
      <c r="CL75" s="19"/>
      <c r="CM75" s="19"/>
      <c r="CN75" s="19"/>
      <c r="CO75" s="19"/>
      <c r="CP75" s="19"/>
      <c r="CQ75" s="19"/>
      <c r="CR75" s="19"/>
      <c r="CS75" s="19"/>
      <c r="CT75" s="19"/>
      <c r="CU75" s="19"/>
      <c r="CV75" s="32"/>
    </row>
    <row r="76" spans="1:100" x14ac:dyDescent="0.25">
      <c r="A76" s="116"/>
      <c r="B76" s="116"/>
      <c r="C76" s="116"/>
      <c r="D76" s="116"/>
      <c r="E76" s="116"/>
      <c r="F76" s="116"/>
      <c r="G76" s="116"/>
      <c r="H76" s="116"/>
      <c r="I76" s="116"/>
      <c r="J76" s="116"/>
      <c r="K76" s="116"/>
      <c r="L76" s="116"/>
      <c r="M76" s="116"/>
      <c r="N76" s="116"/>
      <c r="O76" s="116"/>
      <c r="P76" s="116"/>
      <c r="Q76" s="116"/>
      <c r="R76" s="116"/>
      <c r="S76" s="116"/>
      <c r="T76" s="116"/>
      <c r="U76" s="116"/>
      <c r="V76" s="116"/>
      <c r="Z76" t="s">
        <v>12</v>
      </c>
      <c r="AD76" t="str">
        <f>M5</f>
        <v>No</v>
      </c>
      <c r="AG76" s="18"/>
      <c r="AH76" s="32"/>
      <c r="AI76" s="31"/>
      <c r="AJ76" s="19" t="s">
        <v>202</v>
      </c>
      <c r="AK76" s="32"/>
      <c r="AL76" s="20"/>
      <c r="AN76" s="18">
        <v>92.1</v>
      </c>
      <c r="AO76" s="19">
        <v>1.02</v>
      </c>
      <c r="AP76" s="19">
        <v>1.03</v>
      </c>
      <c r="AQ76" s="19"/>
      <c r="AR76" s="19">
        <v>91</v>
      </c>
      <c r="AS76" s="19">
        <v>1.02</v>
      </c>
      <c r="AT76" s="19">
        <v>1.03</v>
      </c>
      <c r="AU76" s="20"/>
      <c r="AW76" s="31"/>
      <c r="AX76" s="19"/>
      <c r="AY76" s="19"/>
      <c r="AZ76" s="19"/>
      <c r="BA76" s="19"/>
      <c r="BB76" s="19"/>
      <c r="BC76" s="19"/>
      <c r="BD76" s="19"/>
      <c r="BE76" s="19"/>
      <c r="BF76" s="19"/>
      <c r="BG76" s="19"/>
      <c r="BH76" s="19"/>
      <c r="BI76" s="32"/>
      <c r="BL76" s="31" t="s">
        <v>267</v>
      </c>
      <c r="BM76" s="19"/>
      <c r="BN76" s="19"/>
      <c r="BO76" s="19"/>
      <c r="BP76" s="19"/>
      <c r="BQ76" s="19" t="e">
        <f>IF((BU74&lt;BM67),"Yes","No")</f>
        <v>#DIV/0!</v>
      </c>
      <c r="BR76" s="19"/>
      <c r="BS76" s="19"/>
      <c r="BT76" s="19"/>
      <c r="BU76" s="19"/>
      <c r="BV76" s="19"/>
      <c r="BW76" s="19"/>
      <c r="BX76" s="19"/>
      <c r="BY76" s="32"/>
      <c r="CI76" s="31"/>
      <c r="CJ76" s="19"/>
      <c r="CK76" s="19"/>
      <c r="CL76" s="19"/>
      <c r="CM76" s="19"/>
      <c r="CN76" s="19"/>
      <c r="CO76" s="19"/>
      <c r="CP76" s="19"/>
      <c r="CQ76" s="19"/>
      <c r="CR76" s="19"/>
      <c r="CS76" s="19"/>
      <c r="CT76" s="19"/>
      <c r="CU76" s="19"/>
      <c r="CV76" s="32"/>
    </row>
    <row r="77" spans="1:100" x14ac:dyDescent="0.25">
      <c r="A77" s="116"/>
      <c r="B77" s="116"/>
      <c r="C77" s="116"/>
      <c r="D77" s="116"/>
      <c r="E77" s="116"/>
      <c r="F77" s="116"/>
      <c r="G77" s="116"/>
      <c r="H77" s="116"/>
      <c r="I77" s="116"/>
      <c r="J77" s="116"/>
      <c r="K77" s="116"/>
      <c r="L77" s="116"/>
      <c r="M77" s="116"/>
      <c r="N77" s="116"/>
      <c r="O77" s="116"/>
      <c r="P77" s="116"/>
      <c r="Q77" s="116"/>
      <c r="R77" s="116"/>
      <c r="S77" s="116"/>
      <c r="T77" s="116"/>
      <c r="U77" s="116"/>
      <c r="V77" s="116"/>
      <c r="Z77" t="s">
        <v>13</v>
      </c>
      <c r="AG77" s="18"/>
      <c r="AH77" s="32"/>
      <c r="AI77" s="181" t="str">
        <f>IF(D14="Sq Yd inch",P6,"")</f>
        <v/>
      </c>
      <c r="AJ77" s="181" t="str">
        <f>IF(D14="Sq Yd inch",IF(ISNUMBER(S6),S6,""),"")</f>
        <v/>
      </c>
      <c r="AK77" s="32"/>
      <c r="AL77" s="20"/>
      <c r="AN77" s="18"/>
      <c r="AO77" s="19"/>
      <c r="AP77" s="19"/>
      <c r="AQ77" s="19"/>
      <c r="AR77" s="19"/>
      <c r="AS77" s="19"/>
      <c r="AT77" s="19"/>
      <c r="AU77" s="20"/>
      <c r="AW77" s="31"/>
      <c r="AX77" s="19"/>
      <c r="AY77" s="19"/>
      <c r="AZ77" s="19"/>
      <c r="BA77" s="19"/>
      <c r="BB77" s="19" t="s">
        <v>236</v>
      </c>
      <c r="BC77" s="19"/>
      <c r="BD77" s="19"/>
      <c r="BE77" s="19">
        <f>IF(BE74=0,0,AVERAGE(BE25:BE72))</f>
        <v>0</v>
      </c>
      <c r="BF77" s="19"/>
      <c r="BG77" s="19"/>
      <c r="BH77" s="19"/>
      <c r="BI77" s="32"/>
      <c r="BL77" s="31"/>
      <c r="BM77" s="19"/>
      <c r="BN77" s="19"/>
      <c r="BO77" s="19"/>
      <c r="BP77" s="19"/>
      <c r="BQ77" s="19"/>
      <c r="BR77" s="19"/>
      <c r="BS77" s="19"/>
      <c r="BT77" s="19"/>
      <c r="BU77" s="19"/>
      <c r="BV77" s="19"/>
      <c r="BW77" s="19"/>
      <c r="BX77" s="19"/>
      <c r="BY77" s="32"/>
      <c r="CI77" s="31"/>
      <c r="CJ77" s="19"/>
      <c r="CK77" s="19"/>
      <c r="CL77" s="19"/>
      <c r="CM77" s="19"/>
      <c r="CN77" s="19"/>
      <c r="CO77" s="19"/>
      <c r="CP77" s="19"/>
      <c r="CQ77" s="19"/>
      <c r="CR77" s="19"/>
      <c r="CS77" s="19"/>
      <c r="CT77" s="19"/>
      <c r="CU77" s="19"/>
      <c r="CV77" s="32"/>
    </row>
    <row r="78" spans="1:100" x14ac:dyDescent="0.25">
      <c r="A78" s="116"/>
      <c r="B78" s="116"/>
      <c r="C78" s="116"/>
      <c r="D78" s="116"/>
      <c r="E78" s="116"/>
      <c r="F78" s="116"/>
      <c r="G78" s="116"/>
      <c r="H78" s="116"/>
      <c r="I78" s="116"/>
      <c r="J78" s="116"/>
      <c r="K78" s="116"/>
      <c r="L78" s="116"/>
      <c r="M78" s="116"/>
      <c r="N78" s="116"/>
      <c r="O78" s="116"/>
      <c r="P78" s="116"/>
      <c r="Q78" s="116"/>
      <c r="R78" s="116"/>
      <c r="S78" s="116"/>
      <c r="T78" s="116"/>
      <c r="U78" s="116"/>
      <c r="V78" s="116"/>
      <c r="AG78" s="18"/>
      <c r="AH78" s="32"/>
      <c r="AI78" s="31"/>
      <c r="AJ78" s="19"/>
      <c r="AK78" s="32"/>
      <c r="AL78" s="20"/>
      <c r="AN78" s="18"/>
      <c r="AO78" s="19"/>
      <c r="AP78" s="19"/>
      <c r="AQ78" s="19"/>
      <c r="AR78" s="19"/>
      <c r="AS78" s="19"/>
      <c r="AT78" s="19"/>
      <c r="AU78" s="20"/>
      <c r="AW78" s="31"/>
      <c r="AX78" s="19"/>
      <c r="AY78" s="19"/>
      <c r="AZ78" s="19"/>
      <c r="BA78" s="19"/>
      <c r="BB78" s="19" t="s">
        <v>237</v>
      </c>
      <c r="BC78" s="19"/>
      <c r="BD78" s="19"/>
      <c r="BE78" s="19"/>
      <c r="BF78" s="19">
        <f>IF(BF74=0,0,AVERAGE(BF25:BF72))</f>
        <v>0</v>
      </c>
      <c r="BG78" s="19"/>
      <c r="BH78" s="19"/>
      <c r="BI78" s="32"/>
      <c r="BL78" s="31"/>
      <c r="BM78" s="19"/>
      <c r="BN78" s="19"/>
      <c r="BO78" s="19"/>
      <c r="BP78" s="19"/>
      <c r="BQ78" s="19"/>
      <c r="BR78" s="19"/>
      <c r="BS78" s="19"/>
      <c r="BT78" s="19"/>
      <c r="BU78" s="19"/>
      <c r="BV78" s="19"/>
      <c r="BW78" s="19"/>
      <c r="BX78" s="19"/>
      <c r="BY78" s="32"/>
      <c r="CI78" s="43"/>
      <c r="CJ78" s="35"/>
      <c r="CK78" s="35"/>
      <c r="CL78" s="35"/>
      <c r="CM78" s="35"/>
      <c r="CN78" s="35"/>
      <c r="CO78" s="35"/>
      <c r="CP78" s="35"/>
      <c r="CQ78" s="35"/>
      <c r="CR78" s="35"/>
      <c r="CS78" s="35"/>
      <c r="CT78" s="35"/>
      <c r="CU78" s="35"/>
      <c r="CV78" s="36"/>
    </row>
    <row r="79" spans="1:100" x14ac:dyDescent="0.25">
      <c r="A79" s="116"/>
      <c r="B79" s="116"/>
      <c r="C79" s="116"/>
      <c r="D79" s="116"/>
      <c r="E79" s="116"/>
      <c r="F79" s="116"/>
      <c r="G79" s="116"/>
      <c r="H79" s="116"/>
      <c r="I79" s="116"/>
      <c r="J79" s="116"/>
      <c r="K79" s="116"/>
      <c r="L79" s="116"/>
      <c r="M79" s="116"/>
      <c r="N79" s="116"/>
      <c r="O79" s="116"/>
      <c r="P79" s="116"/>
      <c r="Q79" s="116"/>
      <c r="R79" s="116"/>
      <c r="S79" s="116"/>
      <c r="T79" s="116"/>
      <c r="U79" s="116"/>
      <c r="V79" s="116"/>
      <c r="Z79" s="81" t="s">
        <v>170</v>
      </c>
      <c r="AA79" s="1"/>
      <c r="AB79" s="1"/>
      <c r="AC79" s="1"/>
      <c r="AD79" s="1"/>
      <c r="AE79" s="1"/>
      <c r="AG79" s="18"/>
      <c r="AH79" s="32"/>
      <c r="AI79" s="31" t="s">
        <v>334</v>
      </c>
      <c r="AJ79" s="19"/>
      <c r="AK79" s="32"/>
      <c r="AL79" s="20"/>
      <c r="AN79" s="18"/>
      <c r="AO79" s="19"/>
      <c r="AP79" s="19"/>
      <c r="AQ79" s="19"/>
      <c r="AR79" s="19"/>
      <c r="AS79" s="19"/>
      <c r="AT79" s="19"/>
      <c r="AU79" s="20"/>
      <c r="AW79" s="31"/>
      <c r="AX79" s="19"/>
      <c r="AY79" s="19"/>
      <c r="AZ79" s="19"/>
      <c r="BA79" s="19"/>
      <c r="BB79" s="19"/>
      <c r="BC79" s="19"/>
      <c r="BD79" s="19"/>
      <c r="BE79" s="19"/>
      <c r="BF79" s="19"/>
      <c r="BG79" s="19"/>
      <c r="BH79" s="19"/>
      <c r="BI79" s="32"/>
      <c r="BL79" s="31"/>
      <c r="BM79" s="19"/>
      <c r="BN79" s="19"/>
      <c r="BO79" s="19"/>
      <c r="BP79" s="19"/>
      <c r="BQ79" s="19"/>
      <c r="BR79" s="19"/>
      <c r="BS79" s="19"/>
      <c r="BT79" s="19"/>
      <c r="BU79" s="19"/>
      <c r="BV79" s="19"/>
      <c r="BW79" s="19"/>
      <c r="BX79" s="19"/>
      <c r="BY79" s="32"/>
    </row>
    <row r="80" spans="1:100" x14ac:dyDescent="0.25">
      <c r="A80" s="116"/>
      <c r="B80" s="116"/>
      <c r="C80" s="116"/>
      <c r="D80" s="116"/>
      <c r="E80" s="116"/>
      <c r="F80" s="116"/>
      <c r="G80" s="116"/>
      <c r="H80" s="116"/>
      <c r="I80" s="116"/>
      <c r="J80" s="116"/>
      <c r="K80" s="116"/>
      <c r="L80" s="116"/>
      <c r="M80" s="116"/>
      <c r="N80" s="116"/>
      <c r="O80" s="116"/>
      <c r="P80" s="116"/>
      <c r="Q80" s="116"/>
      <c r="R80" s="116"/>
      <c r="S80" s="116"/>
      <c r="T80" s="116"/>
      <c r="U80" s="116"/>
      <c r="V80" s="116"/>
      <c r="Z80" t="s">
        <v>171</v>
      </c>
      <c r="AG80" s="18"/>
      <c r="AH80" s="32"/>
      <c r="AI80" s="31" t="s">
        <v>335</v>
      </c>
      <c r="AJ80" s="19"/>
      <c r="AK80" s="32"/>
      <c r="AL80" s="20"/>
      <c r="AN80" s="18"/>
      <c r="AO80" s="19" t="s">
        <v>125</v>
      </c>
      <c r="AP80" s="19"/>
      <c r="AQ80" s="19"/>
      <c r="AR80" s="19"/>
      <c r="AS80" s="19" t="s">
        <v>126</v>
      </c>
      <c r="AT80" s="19"/>
      <c r="AU80" s="20"/>
      <c r="AW80" s="31"/>
      <c r="AX80" s="19"/>
      <c r="AY80" s="19"/>
      <c r="AZ80" s="19"/>
      <c r="BA80" s="19"/>
      <c r="BB80" s="19"/>
      <c r="BC80" s="19"/>
      <c r="BD80" s="19"/>
      <c r="BE80" s="19"/>
      <c r="BF80" s="19"/>
      <c r="BG80" s="19"/>
      <c r="BH80" s="19"/>
      <c r="BI80" s="32"/>
      <c r="BL80" s="31"/>
      <c r="BM80" s="19"/>
      <c r="BN80" s="19"/>
      <c r="BO80" s="19"/>
      <c r="BP80" s="19"/>
      <c r="BQ80" s="19"/>
      <c r="BR80" s="19"/>
      <c r="BS80" s="19"/>
      <c r="BT80" s="19"/>
      <c r="BU80" s="19"/>
      <c r="BV80" s="19"/>
      <c r="BW80" s="19"/>
      <c r="BX80" s="19"/>
      <c r="BY80" s="32"/>
    </row>
    <row r="81" spans="1:77" x14ac:dyDescent="0.25">
      <c r="A81" s="116"/>
      <c r="B81" s="116"/>
      <c r="C81" s="116"/>
      <c r="D81" s="116"/>
      <c r="E81" s="116"/>
      <c r="F81" s="116"/>
      <c r="G81" s="116"/>
      <c r="H81" s="116"/>
      <c r="I81" s="116"/>
      <c r="J81" s="116"/>
      <c r="K81" s="116"/>
      <c r="L81" s="116"/>
      <c r="M81" s="116"/>
      <c r="N81" s="116"/>
      <c r="O81" s="116"/>
      <c r="P81" s="116"/>
      <c r="Q81" s="116"/>
      <c r="R81" s="116"/>
      <c r="S81" s="116"/>
      <c r="T81" s="116"/>
      <c r="U81" s="116"/>
      <c r="V81" s="116"/>
      <c r="Z81" t="s">
        <v>172</v>
      </c>
      <c r="AG81" s="18"/>
      <c r="AH81" s="32"/>
      <c r="AI81" s="31" t="s">
        <v>336</v>
      </c>
      <c r="AJ81" s="19"/>
      <c r="AK81" s="32"/>
      <c r="AL81" s="20"/>
      <c r="AN81" s="18"/>
      <c r="AO81" s="19" t="s">
        <v>122</v>
      </c>
      <c r="AP81" s="19"/>
      <c r="AQ81" s="19"/>
      <c r="AR81" s="19"/>
      <c r="AS81" s="19" t="s">
        <v>123</v>
      </c>
      <c r="AT81" s="19"/>
      <c r="AU81" s="20"/>
      <c r="AW81" s="31"/>
      <c r="AX81" s="19"/>
      <c r="AY81" s="19"/>
      <c r="AZ81" s="19"/>
      <c r="BA81" s="19"/>
      <c r="BB81" s="19"/>
      <c r="BC81" s="19"/>
      <c r="BD81" s="19" t="s">
        <v>238</v>
      </c>
      <c r="BE81" s="19"/>
      <c r="BF81" s="19"/>
      <c r="BG81" s="19" t="str">
        <f>IF(BF74=0,"",0.03/SQRT(BF74))</f>
        <v/>
      </c>
      <c r="BH81" s="19"/>
      <c r="BI81" s="32"/>
      <c r="BL81" s="43"/>
      <c r="BM81" s="35"/>
      <c r="BN81" s="35"/>
      <c r="BO81" s="35"/>
      <c r="BP81" s="35"/>
      <c r="BQ81" s="35"/>
      <c r="BR81" s="35"/>
      <c r="BS81" s="35"/>
      <c r="BT81" s="35"/>
      <c r="BU81" s="35"/>
      <c r="BV81" s="35"/>
      <c r="BW81" s="35"/>
      <c r="BX81" s="35"/>
      <c r="BY81" s="36"/>
    </row>
    <row r="82" spans="1:77" x14ac:dyDescent="0.25">
      <c r="A82" s="116"/>
      <c r="B82" s="116"/>
      <c r="C82" s="116"/>
      <c r="D82" s="116"/>
      <c r="E82" s="116"/>
      <c r="F82" s="116"/>
      <c r="G82" s="116"/>
      <c r="H82" s="116"/>
      <c r="I82" s="116"/>
      <c r="J82" s="116"/>
      <c r="K82" s="116"/>
      <c r="L82" s="116"/>
      <c r="M82" s="116"/>
      <c r="N82" s="116"/>
      <c r="O82" s="116"/>
      <c r="P82" s="116"/>
      <c r="Q82" s="116"/>
      <c r="R82" s="116"/>
      <c r="S82" s="116"/>
      <c r="T82" s="116"/>
      <c r="U82" s="116"/>
      <c r="V82" s="116"/>
      <c r="Z82" t="s">
        <v>173</v>
      </c>
      <c r="AG82" s="18"/>
      <c r="AH82" s="32"/>
      <c r="AI82" s="181" t="str">
        <f>IF(ISNUMBER(AJ77),AJ77,AI77)</f>
        <v/>
      </c>
      <c r="AJ82" s="19"/>
      <c r="AK82" s="32"/>
      <c r="AL82" s="20"/>
      <c r="AN82" s="18" t="s">
        <v>119</v>
      </c>
      <c r="AO82" s="19"/>
      <c r="AP82" s="19"/>
      <c r="AQ82" s="19"/>
      <c r="AR82" s="19" t="s">
        <v>119</v>
      </c>
      <c r="AS82" s="19"/>
      <c r="AT82" s="19"/>
      <c r="AU82" s="20"/>
      <c r="AW82" s="31"/>
      <c r="AX82" s="19"/>
      <c r="AY82" s="19"/>
      <c r="AZ82" s="19"/>
      <c r="BA82" s="19" t="s">
        <v>255</v>
      </c>
      <c r="BB82" s="19"/>
      <c r="BC82" s="19"/>
      <c r="BD82" s="19"/>
      <c r="BE82" s="19"/>
      <c r="BF82" s="19"/>
      <c r="BG82" s="19">
        <f>(BE77-BF78)</f>
        <v>0</v>
      </c>
      <c r="BH82" s="19"/>
      <c r="BI82" s="32"/>
    </row>
    <row r="83" spans="1:77" x14ac:dyDescent="0.25">
      <c r="A83" s="116"/>
      <c r="B83" s="116"/>
      <c r="C83" s="116"/>
      <c r="D83" s="116"/>
      <c r="E83" s="116"/>
      <c r="F83" s="116"/>
      <c r="G83" s="116"/>
      <c r="H83" s="116"/>
      <c r="I83" s="116"/>
      <c r="J83" s="116"/>
      <c r="K83" s="116"/>
      <c r="L83" s="116"/>
      <c r="M83" s="116"/>
      <c r="N83" s="116"/>
      <c r="O83" s="116"/>
      <c r="P83" s="116"/>
      <c r="Q83" s="116"/>
      <c r="R83" s="116"/>
      <c r="S83" s="116"/>
      <c r="T83" s="116"/>
      <c r="U83" s="116"/>
      <c r="V83" s="116"/>
      <c r="AG83" s="189"/>
      <c r="AH83" s="36"/>
      <c r="AI83" s="43"/>
      <c r="AJ83" s="35"/>
      <c r="AK83" s="36"/>
      <c r="AL83" s="20"/>
      <c r="AN83" s="18" t="s">
        <v>103</v>
      </c>
      <c r="AO83" s="19" t="s">
        <v>85</v>
      </c>
      <c r="AP83" s="19" t="s">
        <v>85</v>
      </c>
      <c r="AQ83" s="19"/>
      <c r="AR83" s="19" t="s">
        <v>103</v>
      </c>
      <c r="AS83" s="19" t="s">
        <v>85</v>
      </c>
      <c r="AT83" s="19" t="s">
        <v>85</v>
      </c>
      <c r="AU83" s="20"/>
      <c r="AW83" s="31"/>
      <c r="AX83" s="19"/>
      <c r="AY83" s="19"/>
      <c r="AZ83" s="19"/>
      <c r="BA83" s="19" t="s">
        <v>256</v>
      </c>
      <c r="BB83" s="19"/>
      <c r="BC83" s="19"/>
      <c r="BD83" s="19"/>
      <c r="BE83" s="19"/>
      <c r="BF83" s="19"/>
      <c r="BG83" s="19">
        <f>ABS(BG82)</f>
        <v>0</v>
      </c>
      <c r="BH83" s="19"/>
      <c r="BI83" s="32"/>
    </row>
    <row r="84" spans="1:77" x14ac:dyDescent="0.25">
      <c r="A84" s="116"/>
      <c r="B84" s="116"/>
      <c r="C84" s="116"/>
      <c r="D84" s="116"/>
      <c r="E84" s="116"/>
      <c r="F84" s="116"/>
      <c r="G84" s="116"/>
      <c r="H84" s="116"/>
      <c r="I84" s="116"/>
      <c r="J84" s="116"/>
      <c r="K84" s="116"/>
      <c r="L84" s="116"/>
      <c r="M84" s="116"/>
      <c r="N84" s="116"/>
      <c r="O84" s="116"/>
      <c r="P84" s="116"/>
      <c r="Q84" s="116"/>
      <c r="R84" s="116"/>
      <c r="S84" s="116"/>
      <c r="T84" s="116"/>
      <c r="U84" s="116"/>
      <c r="V84" s="116"/>
      <c r="AG84" s="18"/>
      <c r="AH84" s="19"/>
      <c r="AI84" s="19"/>
      <c r="AJ84" s="19"/>
      <c r="AK84" s="19"/>
      <c r="AL84" s="20"/>
      <c r="AN84" s="18" t="s">
        <v>97</v>
      </c>
      <c r="AO84" s="19" t="s">
        <v>86</v>
      </c>
      <c r="AP84" s="19" t="s">
        <v>86</v>
      </c>
      <c r="AQ84" s="19"/>
      <c r="AR84" s="19" t="s">
        <v>97</v>
      </c>
      <c r="AS84" s="19" t="s">
        <v>86</v>
      </c>
      <c r="AT84" s="19" t="s">
        <v>86</v>
      </c>
      <c r="AU84" s="20"/>
      <c r="AW84" s="31"/>
      <c r="AX84" s="19" t="s">
        <v>257</v>
      </c>
      <c r="AY84" s="19"/>
      <c r="AZ84" s="19"/>
      <c r="BA84" s="19"/>
      <c r="BB84" s="19"/>
      <c r="BC84" s="19"/>
      <c r="BD84" s="19"/>
      <c r="BE84" s="19"/>
      <c r="BF84" s="19"/>
      <c r="BG84" s="19" t="str">
        <f>IF(BG83&gt;BG81,"Use Agency Cores","No - Use Contractor Cores")</f>
        <v>No - Use Contractor Cores</v>
      </c>
      <c r="BH84" s="19"/>
      <c r="BI84" s="32"/>
    </row>
    <row r="85" spans="1:77" x14ac:dyDescent="0.25">
      <c r="A85" s="116"/>
      <c r="B85" s="116"/>
      <c r="C85" s="116"/>
      <c r="D85" s="116"/>
      <c r="E85" s="116"/>
      <c r="F85" s="116"/>
      <c r="G85" s="116"/>
      <c r="H85" s="116"/>
      <c r="I85" s="116"/>
      <c r="J85" s="116"/>
      <c r="K85" s="116"/>
      <c r="L85" s="116"/>
      <c r="M85" s="116"/>
      <c r="N85" s="116"/>
      <c r="O85" s="116"/>
      <c r="P85" s="116"/>
      <c r="Q85" s="116"/>
      <c r="R85" s="116"/>
      <c r="S85" s="116"/>
      <c r="T85" s="116"/>
      <c r="U85" s="116"/>
      <c r="V85" s="116"/>
      <c r="Z85" s="82" t="s">
        <v>187</v>
      </c>
      <c r="AA85" s="83"/>
      <c r="AB85" s="83"/>
      <c r="AC85" s="83"/>
      <c r="AD85" s="82" t="s">
        <v>188</v>
      </c>
      <c r="AE85" s="83"/>
      <c r="AG85" s="18"/>
      <c r="AH85" s="19"/>
      <c r="AI85" s="19"/>
      <c r="AJ85" s="19"/>
      <c r="AK85" s="19"/>
      <c r="AL85" s="20"/>
      <c r="AN85" s="22" t="s">
        <v>117</v>
      </c>
      <c r="AO85" s="19" t="s">
        <v>120</v>
      </c>
      <c r="AP85" s="19" t="s">
        <v>120</v>
      </c>
      <c r="AQ85" s="19"/>
      <c r="AR85" s="23" t="s">
        <v>117</v>
      </c>
      <c r="AS85" s="19" t="s">
        <v>120</v>
      </c>
      <c r="AT85" s="19" t="s">
        <v>120</v>
      </c>
      <c r="AU85" s="20"/>
      <c r="AW85" s="31"/>
      <c r="AX85" s="19"/>
      <c r="AY85" s="19"/>
      <c r="AZ85" s="19"/>
      <c r="BA85" s="19"/>
      <c r="BB85" s="19"/>
      <c r="BC85" s="19"/>
      <c r="BD85" s="19"/>
      <c r="BE85" s="19"/>
      <c r="BF85" s="19"/>
      <c r="BG85" s="19"/>
      <c r="BH85" s="19"/>
      <c r="BI85" s="32"/>
    </row>
    <row r="86" spans="1:77" x14ac:dyDescent="0.25">
      <c r="A86" s="116"/>
      <c r="B86" s="116"/>
      <c r="C86" s="116"/>
      <c r="D86" s="116"/>
      <c r="E86" s="116"/>
      <c r="F86" s="116"/>
      <c r="G86" s="116"/>
      <c r="H86" s="116"/>
      <c r="I86" s="116"/>
      <c r="J86" s="116"/>
      <c r="K86" s="116"/>
      <c r="L86" s="116"/>
      <c r="M86" s="116"/>
      <c r="N86" s="116"/>
      <c r="O86" s="116"/>
      <c r="P86" s="116"/>
      <c r="Q86" s="116"/>
      <c r="R86" s="116"/>
      <c r="S86" s="116"/>
      <c r="T86" s="116"/>
      <c r="U86" s="116"/>
      <c r="V86" s="116"/>
      <c r="Z86" t="s">
        <v>13</v>
      </c>
      <c r="AD86" t="str">
        <f>M6</f>
        <v>Yes</v>
      </c>
      <c r="AG86" s="18" t="s">
        <v>337</v>
      </c>
      <c r="AH86" s="19"/>
      <c r="AI86" s="19"/>
      <c r="AJ86" s="19"/>
      <c r="AK86" s="19"/>
      <c r="AL86" s="20"/>
      <c r="AN86" s="18"/>
      <c r="AO86" s="19" t="s">
        <v>107</v>
      </c>
      <c r="AP86" s="19" t="s">
        <v>108</v>
      </c>
      <c r="AQ86" s="19"/>
      <c r="AR86" s="19"/>
      <c r="AS86" s="19" t="s">
        <v>107</v>
      </c>
      <c r="AT86" s="19" t="s">
        <v>108</v>
      </c>
      <c r="AU86" s="20"/>
      <c r="AW86" s="43"/>
      <c r="AX86" s="35"/>
      <c r="AY86" s="35"/>
      <c r="AZ86" s="35"/>
      <c r="BA86" s="35"/>
      <c r="BB86" s="35"/>
      <c r="BC86" s="35"/>
      <c r="BD86" s="35"/>
      <c r="BE86" s="35"/>
      <c r="BF86" s="35"/>
      <c r="BG86" s="35"/>
      <c r="BH86" s="35"/>
      <c r="BI86" s="36"/>
    </row>
    <row r="87" spans="1:77" ht="15.75" thickBot="1" x14ac:dyDescent="0.3">
      <c r="A87" s="116"/>
      <c r="B87" s="116"/>
      <c r="C87" s="116"/>
      <c r="D87" s="116"/>
      <c r="E87" s="116"/>
      <c r="F87" s="116"/>
      <c r="G87" s="116"/>
      <c r="H87" s="116"/>
      <c r="I87" s="116"/>
      <c r="J87" s="116"/>
      <c r="K87" s="116"/>
      <c r="L87" s="116"/>
      <c r="M87" s="116"/>
      <c r="N87" s="116"/>
      <c r="O87" s="116"/>
      <c r="P87" s="116"/>
      <c r="Q87" s="116"/>
      <c r="R87" s="116"/>
      <c r="S87" s="116"/>
      <c r="T87" s="116"/>
      <c r="U87" s="116"/>
      <c r="V87" s="116"/>
      <c r="Z87" t="s">
        <v>12</v>
      </c>
      <c r="AG87" s="18"/>
      <c r="AH87" s="19"/>
      <c r="AI87" s="19"/>
      <c r="AJ87" s="19"/>
      <c r="AK87" s="19"/>
      <c r="AL87" s="20"/>
      <c r="AN87" s="18">
        <v>1</v>
      </c>
      <c r="AO87" s="19">
        <v>2</v>
      </c>
      <c r="AP87" s="19">
        <v>3</v>
      </c>
      <c r="AQ87" s="19"/>
      <c r="AR87" s="19">
        <v>1</v>
      </c>
      <c r="AS87" s="19">
        <v>2</v>
      </c>
      <c r="AT87" s="19">
        <v>3</v>
      </c>
      <c r="AU87" s="20"/>
    </row>
    <row r="88" spans="1:77" ht="15.75" thickBot="1" x14ac:dyDescent="0.3">
      <c r="A88" s="116"/>
      <c r="B88" s="116"/>
      <c r="C88" s="116"/>
      <c r="D88" s="116"/>
      <c r="E88" s="116"/>
      <c r="F88" s="116"/>
      <c r="G88" s="116"/>
      <c r="H88" s="116"/>
      <c r="I88" s="116"/>
      <c r="J88" s="116"/>
      <c r="K88" s="116"/>
      <c r="L88" s="116"/>
      <c r="M88" s="116"/>
      <c r="N88" s="116"/>
      <c r="O88" s="116"/>
      <c r="P88" s="116"/>
      <c r="Q88" s="116"/>
      <c r="R88" s="116"/>
      <c r="S88" s="116"/>
      <c r="T88" s="116"/>
      <c r="U88" s="116"/>
      <c r="V88" s="116"/>
      <c r="AG88" s="18"/>
      <c r="AH88" s="19"/>
      <c r="AI88" s="183">
        <f>IF(AI70="Tons",AG74,AI82)</f>
        <v>0</v>
      </c>
      <c r="AJ88" s="19"/>
      <c r="AK88" s="19"/>
      <c r="AL88" s="20"/>
      <c r="AN88" s="18">
        <v>0</v>
      </c>
      <c r="AO88" s="19">
        <v>0.85</v>
      </c>
      <c r="AP88" s="19">
        <v>0.85</v>
      </c>
      <c r="AQ88" s="19"/>
      <c r="AR88" s="19">
        <v>0</v>
      </c>
      <c r="AS88" s="19">
        <v>0.85</v>
      </c>
      <c r="AT88" s="19">
        <v>0.85</v>
      </c>
      <c r="AU88" s="20"/>
    </row>
    <row r="89" spans="1:77" ht="15.75" thickBot="1" x14ac:dyDescent="0.3">
      <c r="A89" s="116"/>
      <c r="B89" s="116"/>
      <c r="C89" s="116"/>
      <c r="D89" s="116"/>
      <c r="E89" s="116"/>
      <c r="F89" s="116"/>
      <c r="G89" s="116"/>
      <c r="H89" s="116"/>
      <c r="I89" s="116"/>
      <c r="J89" s="116"/>
      <c r="K89" s="116"/>
      <c r="L89" s="116"/>
      <c r="M89" s="116"/>
      <c r="N89" s="116"/>
      <c r="O89" s="116"/>
      <c r="P89" s="116"/>
      <c r="Q89" s="116"/>
      <c r="R89" s="116"/>
      <c r="S89" s="116"/>
      <c r="T89" s="116"/>
      <c r="U89" s="116"/>
      <c r="V89" s="116"/>
      <c r="AG89" s="24"/>
      <c r="AH89" s="190"/>
      <c r="AI89" s="190"/>
      <c r="AJ89" s="190"/>
      <c r="AK89" s="190"/>
      <c r="AL89" s="191"/>
      <c r="AN89" s="18">
        <v>88</v>
      </c>
      <c r="AO89" s="19">
        <v>0.91</v>
      </c>
      <c r="AP89" s="19">
        <v>0.91</v>
      </c>
      <c r="AQ89" s="19"/>
      <c r="AR89" s="19">
        <v>86</v>
      </c>
      <c r="AS89" s="19">
        <v>0.91</v>
      </c>
      <c r="AT89" s="19">
        <v>0.91</v>
      </c>
      <c r="AU89" s="20"/>
    </row>
    <row r="90" spans="1:77" ht="16.5" thickTop="1" thickBot="1" x14ac:dyDescent="0.3">
      <c r="A90" s="116"/>
      <c r="B90" s="116"/>
      <c r="C90" s="116"/>
      <c r="D90" s="116"/>
      <c r="E90" s="116"/>
      <c r="F90" s="116"/>
      <c r="G90" s="116"/>
      <c r="H90" s="116"/>
      <c r="I90" s="116"/>
      <c r="J90" s="116"/>
      <c r="K90" s="116"/>
      <c r="L90" s="116"/>
      <c r="M90" s="116"/>
      <c r="N90" s="116"/>
      <c r="O90" s="116"/>
      <c r="P90" s="116"/>
      <c r="Q90" s="116"/>
      <c r="R90" s="116"/>
      <c r="S90" s="116"/>
      <c r="T90" s="116"/>
      <c r="U90" s="116"/>
      <c r="V90" s="116"/>
      <c r="Y90" t="s">
        <v>162</v>
      </c>
      <c r="AN90" s="18">
        <v>88.7</v>
      </c>
      <c r="AO90" s="19">
        <v>0.95</v>
      </c>
      <c r="AP90" s="19">
        <v>0.95</v>
      </c>
      <c r="AQ90" s="19"/>
      <c r="AR90" s="19">
        <v>87</v>
      </c>
      <c r="AS90" s="19">
        <v>0.95</v>
      </c>
      <c r="AT90" s="19">
        <v>0.95</v>
      </c>
      <c r="AU90" s="20"/>
    </row>
    <row r="91" spans="1:77" ht="15.75" thickTop="1" x14ac:dyDescent="0.25">
      <c r="A91" s="116"/>
      <c r="B91" s="116"/>
      <c r="C91" s="116"/>
      <c r="D91" s="116"/>
      <c r="E91" s="116"/>
      <c r="F91" s="116"/>
      <c r="G91" s="116"/>
      <c r="H91" s="116"/>
      <c r="I91" s="116"/>
      <c r="J91" s="116"/>
      <c r="K91" s="116"/>
      <c r="L91" s="116"/>
      <c r="M91" s="116"/>
      <c r="N91" s="116"/>
      <c r="O91" s="116"/>
      <c r="P91" s="116"/>
      <c r="Q91" s="116"/>
      <c r="R91" s="116"/>
      <c r="S91" s="116"/>
      <c r="T91" s="116"/>
      <c r="U91" s="116"/>
      <c r="V91" s="116"/>
      <c r="Y91" s="84"/>
      <c r="Z91" s="85" t="s">
        <v>134</v>
      </c>
      <c r="AA91" s="86"/>
      <c r="AB91" s="86"/>
      <c r="AC91" s="86"/>
      <c r="AD91" s="86"/>
      <c r="AE91" s="87"/>
      <c r="AN91" s="18">
        <v>89.5</v>
      </c>
      <c r="AO91" s="19">
        <v>0.98</v>
      </c>
      <c r="AP91" s="19">
        <v>0.98</v>
      </c>
      <c r="AQ91" s="19"/>
      <c r="AR91" s="19">
        <v>88</v>
      </c>
      <c r="AS91" s="19">
        <v>0.98</v>
      </c>
      <c r="AT91" s="19">
        <v>0.98</v>
      </c>
      <c r="AU91" s="20"/>
    </row>
    <row r="92" spans="1:77" x14ac:dyDescent="0.25">
      <c r="A92" s="116"/>
      <c r="B92" s="116"/>
      <c r="C92" s="116"/>
      <c r="D92" s="116"/>
      <c r="E92" s="116"/>
      <c r="F92" s="116"/>
      <c r="G92" s="116"/>
      <c r="H92" s="116"/>
      <c r="I92" s="116"/>
      <c r="J92" s="116"/>
      <c r="K92" s="116"/>
      <c r="L92" s="116"/>
      <c r="M92" s="116"/>
      <c r="N92" s="116"/>
      <c r="O92" s="116"/>
      <c r="P92" s="116"/>
      <c r="Q92" s="116"/>
      <c r="R92" s="116"/>
      <c r="S92" s="116"/>
      <c r="T92" s="116"/>
      <c r="U92" s="116"/>
      <c r="V92" s="116"/>
      <c r="Y92" s="18"/>
      <c r="Z92" s="19"/>
      <c r="AA92" s="19"/>
      <c r="AB92" s="19"/>
      <c r="AC92" s="19"/>
      <c r="AD92" s="19"/>
      <c r="AE92" s="20"/>
      <c r="AN92" s="18">
        <v>90.5</v>
      </c>
      <c r="AO92" s="19">
        <v>1</v>
      </c>
      <c r="AP92" s="19">
        <v>1</v>
      </c>
      <c r="AQ92" s="19"/>
      <c r="AR92" s="19">
        <v>89.1</v>
      </c>
      <c r="AS92" s="19">
        <v>1</v>
      </c>
      <c r="AT92" s="19">
        <v>1</v>
      </c>
      <c r="AU92" s="20"/>
    </row>
    <row r="93" spans="1:77" x14ac:dyDescent="0.25">
      <c r="A93" s="116"/>
      <c r="B93" s="116"/>
      <c r="C93" s="116"/>
      <c r="D93" s="116"/>
      <c r="E93" s="116"/>
      <c r="F93" s="116"/>
      <c r="G93" s="116"/>
      <c r="H93" s="116"/>
      <c r="I93" s="116"/>
      <c r="J93" s="116"/>
      <c r="K93" s="116"/>
      <c r="L93" s="116"/>
      <c r="M93" s="116"/>
      <c r="N93" s="116"/>
      <c r="O93" s="116"/>
      <c r="P93" s="116"/>
      <c r="Q93" s="116"/>
      <c r="R93" s="116"/>
      <c r="S93" s="116"/>
      <c r="T93" s="116"/>
      <c r="U93" s="116"/>
      <c r="V93" s="116"/>
      <c r="Y93" s="18"/>
      <c r="Z93" s="19" t="s">
        <v>135</v>
      </c>
      <c r="AA93" s="19"/>
      <c r="AB93" s="19"/>
      <c r="AC93" s="19"/>
      <c r="AD93" s="19"/>
      <c r="AE93" s="20"/>
      <c r="AN93" s="18">
        <v>92.6</v>
      </c>
      <c r="AO93" s="19">
        <v>1.01</v>
      </c>
      <c r="AP93" s="19">
        <v>1.02</v>
      </c>
      <c r="AQ93" s="19"/>
      <c r="AR93" s="19">
        <v>91.1</v>
      </c>
      <c r="AS93" s="19">
        <v>1.01</v>
      </c>
      <c r="AT93" s="19">
        <v>1.02</v>
      </c>
      <c r="AU93" s="20"/>
    </row>
    <row r="94" spans="1:77" x14ac:dyDescent="0.25">
      <c r="A94" s="116"/>
      <c r="B94" s="116"/>
      <c r="C94" s="116"/>
      <c r="D94" s="116"/>
      <c r="E94" s="116"/>
      <c r="F94" s="116"/>
      <c r="G94" s="116"/>
      <c r="H94" s="116"/>
      <c r="I94" s="116"/>
      <c r="J94" s="116"/>
      <c r="K94" s="116"/>
      <c r="L94" s="116"/>
      <c r="M94" s="116"/>
      <c r="N94" s="116"/>
      <c r="O94" s="116"/>
      <c r="P94" s="116"/>
      <c r="Q94" s="116"/>
      <c r="R94" s="116"/>
      <c r="S94" s="116"/>
      <c r="T94" s="116"/>
      <c r="U94" s="116"/>
      <c r="V94" s="116"/>
      <c r="Y94" s="18"/>
      <c r="Z94" s="19" t="s">
        <v>136</v>
      </c>
      <c r="AA94" s="19"/>
      <c r="AB94" s="19"/>
      <c r="AC94" s="19"/>
      <c r="AD94" s="19"/>
      <c r="AE94" s="20"/>
      <c r="AN94" s="18">
        <v>93.1</v>
      </c>
      <c r="AO94" s="19">
        <v>1.02</v>
      </c>
      <c r="AP94" s="19">
        <v>1.03</v>
      </c>
      <c r="AQ94" s="19"/>
      <c r="AR94" s="19">
        <v>92</v>
      </c>
      <c r="AS94" s="19">
        <v>1.02</v>
      </c>
      <c r="AT94" s="19">
        <v>1.03</v>
      </c>
      <c r="AU94" s="20"/>
    </row>
    <row r="95" spans="1:77" x14ac:dyDescent="0.25">
      <c r="B95" s="116"/>
      <c r="C95" s="116"/>
      <c r="D95" s="116"/>
      <c r="E95" s="116"/>
      <c r="F95" s="116"/>
      <c r="G95" s="116"/>
      <c r="H95" s="116"/>
      <c r="I95" s="116"/>
      <c r="J95" s="116"/>
      <c r="K95" s="116"/>
      <c r="L95" s="116"/>
      <c r="M95" s="116"/>
      <c r="N95" s="116"/>
      <c r="O95" s="116"/>
      <c r="P95" s="116"/>
      <c r="Q95" s="116"/>
      <c r="R95" s="116"/>
      <c r="S95" s="116"/>
      <c r="T95" s="116"/>
      <c r="U95" s="116"/>
      <c r="V95" s="116"/>
      <c r="Y95" s="18"/>
      <c r="Z95" s="19" t="s">
        <v>141</v>
      </c>
      <c r="AA95" s="19" t="s">
        <v>138</v>
      </c>
      <c r="AB95" s="19"/>
      <c r="AC95" s="19"/>
      <c r="AD95" s="19"/>
      <c r="AE95" s="20"/>
      <c r="AN95" s="18"/>
      <c r="AO95" s="19"/>
      <c r="AP95" s="19"/>
      <c r="AQ95" s="19"/>
      <c r="AR95" s="19"/>
      <c r="AS95" s="19"/>
      <c r="AT95" s="19"/>
      <c r="AU95" s="20"/>
    </row>
    <row r="96" spans="1:77" ht="15.75" thickBot="1" x14ac:dyDescent="0.3">
      <c r="B96" s="116"/>
      <c r="C96" s="116"/>
      <c r="D96" s="116"/>
      <c r="E96" s="116"/>
      <c r="F96" s="116"/>
      <c r="G96" s="116"/>
      <c r="H96" s="116"/>
      <c r="I96" s="116"/>
      <c r="J96" s="116"/>
      <c r="K96" s="116"/>
      <c r="L96" s="116"/>
      <c r="M96" s="116"/>
      <c r="N96" s="116"/>
      <c r="O96" s="116"/>
      <c r="P96" s="116"/>
      <c r="Q96" s="116"/>
      <c r="R96" s="116"/>
      <c r="S96" s="116"/>
      <c r="T96" s="116"/>
      <c r="U96" s="116"/>
      <c r="V96" s="116"/>
      <c r="Y96" s="18"/>
      <c r="Z96" s="19" t="s">
        <v>465</v>
      </c>
      <c r="AA96" s="19"/>
      <c r="AB96" s="19"/>
      <c r="AC96" s="19"/>
      <c r="AD96" s="19"/>
      <c r="AE96" s="20"/>
      <c r="AN96" s="24"/>
      <c r="AO96" s="25"/>
      <c r="AP96" s="25"/>
      <c r="AQ96" s="25"/>
      <c r="AR96" s="25"/>
      <c r="AS96" s="25"/>
      <c r="AT96" s="25"/>
      <c r="AU96" s="26"/>
    </row>
    <row r="97" spans="1:60" ht="15.75" thickTop="1" x14ac:dyDescent="0.25">
      <c r="B97" s="116"/>
      <c r="C97" s="116"/>
      <c r="D97" s="116"/>
      <c r="E97" s="116"/>
      <c r="F97" s="116"/>
      <c r="G97" s="116"/>
      <c r="H97" s="116"/>
      <c r="I97" s="116"/>
      <c r="J97" s="116"/>
      <c r="K97" s="116"/>
      <c r="L97" s="116"/>
      <c r="M97" s="116"/>
      <c r="N97" s="116"/>
      <c r="O97" s="116"/>
      <c r="P97" s="116"/>
      <c r="Q97" s="116"/>
      <c r="R97" s="116"/>
      <c r="S97" s="116"/>
      <c r="T97" s="116"/>
      <c r="U97" s="116"/>
      <c r="V97" s="116"/>
      <c r="Y97" s="18"/>
      <c r="Z97" s="19"/>
      <c r="AA97" s="19"/>
      <c r="AB97" s="19"/>
      <c r="AC97" s="19"/>
      <c r="AD97" s="19"/>
      <c r="AE97" s="20"/>
    </row>
    <row r="98" spans="1:60" x14ac:dyDescent="0.25">
      <c r="B98" s="116"/>
      <c r="C98" s="116"/>
      <c r="D98" s="116"/>
      <c r="E98" s="116"/>
      <c r="F98" s="116"/>
      <c r="G98" s="116"/>
      <c r="H98" s="116"/>
      <c r="I98" s="116"/>
      <c r="J98" s="116"/>
      <c r="K98" s="116"/>
      <c r="L98" s="116"/>
      <c r="M98" s="116"/>
      <c r="N98" s="116"/>
      <c r="O98" s="116"/>
      <c r="P98" s="116"/>
      <c r="Q98" s="116"/>
      <c r="R98" s="116"/>
      <c r="S98" s="116"/>
      <c r="T98" s="116"/>
      <c r="U98" s="116"/>
      <c r="V98" s="116"/>
      <c r="Y98" s="18"/>
      <c r="Z98" s="19">
        <f>M4</f>
        <v>0</v>
      </c>
      <c r="AA98" s="19" t="str">
        <f>AE33</f>
        <v>A</v>
      </c>
      <c r="AB98" s="19"/>
      <c r="AC98" s="19" t="str">
        <f>IF(AA98="A",VLOOKUP(Z98,Y101:Z102,2),IF(AA98="B",VLOOKUP(Z98,AA101:AB102,2),IF(AA98="C",VLOOKUP(Z98,AC101:AD102,2),"Fine")))</f>
        <v>Coarse</v>
      </c>
      <c r="AD98" s="19" t="str">
        <f>IF(AC98="Coarse","Use Automatic Vacuum Sealing System - Laboratory Method 1816","Use  Laboratory Method 1810")</f>
        <v>Use Automatic Vacuum Sealing System - Laboratory Method 1816</v>
      </c>
      <c r="AE98" s="20"/>
    </row>
    <row r="99" spans="1:60" x14ac:dyDescent="0.25">
      <c r="B99" s="116"/>
      <c r="C99" s="116"/>
      <c r="D99" s="116"/>
      <c r="E99" s="116"/>
      <c r="F99" s="116"/>
      <c r="G99" s="116"/>
      <c r="H99" s="116"/>
      <c r="I99" s="116"/>
      <c r="J99" s="116"/>
      <c r="K99" s="116"/>
      <c r="L99" s="116"/>
      <c r="M99" s="116"/>
      <c r="N99" s="116"/>
      <c r="O99" s="116"/>
      <c r="P99" s="116"/>
      <c r="Q99" s="116"/>
      <c r="R99" s="116"/>
      <c r="S99" s="116"/>
      <c r="T99" s="116"/>
      <c r="U99" s="116"/>
      <c r="V99" s="116"/>
      <c r="Y99" s="18"/>
      <c r="Z99" s="19"/>
      <c r="AA99" s="19" t="s">
        <v>137</v>
      </c>
      <c r="AB99" s="19"/>
      <c r="AC99" s="19"/>
      <c r="AD99" s="19"/>
      <c r="AE99" s="20"/>
    </row>
    <row r="100" spans="1:60" x14ac:dyDescent="0.25">
      <c r="B100" s="116"/>
      <c r="C100" s="116"/>
      <c r="D100" s="116"/>
      <c r="E100" s="116"/>
      <c r="F100" s="116"/>
      <c r="G100" s="116"/>
      <c r="H100" s="116"/>
      <c r="I100" s="116"/>
      <c r="J100" s="116"/>
      <c r="K100" s="116"/>
      <c r="L100" s="116"/>
      <c r="M100" s="116"/>
      <c r="N100" s="116"/>
      <c r="O100" s="116"/>
      <c r="P100" s="116"/>
      <c r="Q100" s="116"/>
      <c r="R100" s="116"/>
      <c r="S100" s="116"/>
      <c r="T100" s="116"/>
      <c r="U100" s="116"/>
      <c r="V100" s="116"/>
      <c r="Y100" s="18" t="s">
        <v>99</v>
      </c>
      <c r="Z100" s="19"/>
      <c r="AA100" s="19" t="s">
        <v>120</v>
      </c>
      <c r="AB100" s="19"/>
      <c r="AC100" s="19" t="s">
        <v>142</v>
      </c>
      <c r="AD100" s="19"/>
      <c r="AE100" s="20"/>
    </row>
    <row r="101" spans="1:60" x14ac:dyDescent="0.25">
      <c r="B101" s="116"/>
      <c r="C101" s="116"/>
      <c r="D101" s="116"/>
      <c r="E101" s="116"/>
      <c r="F101" s="116"/>
      <c r="G101" s="116"/>
      <c r="H101" s="116"/>
      <c r="I101" s="116"/>
      <c r="J101" s="116"/>
      <c r="K101" s="116"/>
      <c r="L101" s="116"/>
      <c r="M101" s="116"/>
      <c r="N101" s="116"/>
      <c r="O101" s="116"/>
      <c r="P101" s="116"/>
      <c r="Q101" s="116"/>
      <c r="R101" s="116"/>
      <c r="S101" s="116"/>
      <c r="T101" s="116"/>
      <c r="U101" s="116"/>
      <c r="V101" s="116"/>
      <c r="Y101" s="18">
        <v>0</v>
      </c>
      <c r="Z101" s="19" t="s">
        <v>139</v>
      </c>
      <c r="AA101" s="19">
        <v>0</v>
      </c>
      <c r="AB101" s="19" t="s">
        <v>139</v>
      </c>
      <c r="AC101" s="19">
        <v>0</v>
      </c>
      <c r="AD101" s="19" t="s">
        <v>139</v>
      </c>
      <c r="AE101" s="20"/>
    </row>
    <row r="102" spans="1:60" ht="15.75" thickBot="1" x14ac:dyDescent="0.3">
      <c r="B102" s="116"/>
      <c r="C102" s="116"/>
      <c r="D102" s="116"/>
      <c r="E102" s="116"/>
      <c r="F102" s="116"/>
      <c r="G102" s="116"/>
      <c r="H102" s="116"/>
      <c r="I102" s="116"/>
      <c r="J102" s="116"/>
      <c r="K102" s="116"/>
      <c r="L102" s="116"/>
      <c r="M102" s="116"/>
      <c r="N102" s="116"/>
      <c r="O102" s="116"/>
      <c r="P102" s="116"/>
      <c r="Q102" s="116"/>
      <c r="R102" s="116"/>
      <c r="S102" s="116"/>
      <c r="T102" s="116"/>
      <c r="U102" s="116"/>
      <c r="V102" s="116"/>
      <c r="Y102" s="18">
        <v>47</v>
      </c>
      <c r="Z102" s="19" t="s">
        <v>140</v>
      </c>
      <c r="AA102" s="19">
        <v>39</v>
      </c>
      <c r="AB102" s="19" t="s">
        <v>140</v>
      </c>
      <c r="AC102" s="19">
        <v>35</v>
      </c>
      <c r="AD102" s="19" t="s">
        <v>140</v>
      </c>
      <c r="AE102" s="20"/>
      <c r="AP102" t="s">
        <v>162</v>
      </c>
    </row>
    <row r="103" spans="1:60" ht="16.5" thickTop="1" thickBot="1" x14ac:dyDescent="0.3">
      <c r="B103" s="116"/>
      <c r="C103" s="116"/>
      <c r="D103" s="116"/>
      <c r="E103" s="116"/>
      <c r="F103" s="116"/>
      <c r="G103" s="116"/>
      <c r="H103" s="116"/>
      <c r="I103" s="116"/>
      <c r="J103" s="116"/>
      <c r="K103" s="116"/>
      <c r="L103" s="116"/>
      <c r="M103" s="116"/>
      <c r="N103" s="116"/>
      <c r="O103" s="116"/>
      <c r="P103" s="116"/>
      <c r="Q103" s="116"/>
      <c r="R103" s="116"/>
      <c r="S103" s="116"/>
      <c r="T103" s="116"/>
      <c r="U103" s="116"/>
      <c r="V103" s="116"/>
      <c r="Y103" s="24"/>
      <c r="Z103" s="25"/>
      <c r="AA103" s="25"/>
      <c r="AB103" s="25"/>
      <c r="AC103" s="25"/>
      <c r="AD103" s="25"/>
      <c r="AE103" s="26"/>
      <c r="AO103" s="15"/>
      <c r="AP103" s="16"/>
      <c r="AQ103" s="16"/>
      <c r="AR103" s="16"/>
      <c r="AS103" s="16"/>
      <c r="AT103" s="16"/>
      <c r="AU103" s="16"/>
      <c r="AV103" s="16"/>
      <c r="AW103" s="16"/>
      <c r="AX103" s="16"/>
      <c r="AY103" s="16"/>
      <c r="AZ103" s="16"/>
      <c r="BA103" s="16"/>
      <c r="BB103" s="16"/>
      <c r="BC103" s="17"/>
      <c r="BD103" s="19"/>
      <c r="BE103" s="19"/>
      <c r="BF103" s="19"/>
      <c r="BG103" s="19"/>
      <c r="BH103" s="19"/>
    </row>
    <row r="104" spans="1:60" ht="15.75" thickTop="1" x14ac:dyDescent="0.25">
      <c r="B104" s="116"/>
      <c r="C104" s="116"/>
      <c r="D104" s="116"/>
      <c r="E104" s="116"/>
      <c r="F104" s="116"/>
      <c r="G104" s="116"/>
      <c r="H104" s="116"/>
      <c r="I104" s="116"/>
      <c r="J104" s="116"/>
      <c r="K104" s="116"/>
      <c r="L104" s="116"/>
      <c r="M104" s="116"/>
      <c r="N104" s="116"/>
      <c r="O104" s="116"/>
      <c r="P104" s="116"/>
      <c r="Q104" s="116"/>
      <c r="R104" s="116"/>
      <c r="S104" s="116"/>
      <c r="T104" s="116"/>
      <c r="U104" s="116"/>
      <c r="V104" s="116"/>
      <c r="AO104" s="18"/>
      <c r="AP104" s="19"/>
      <c r="AQ104" s="19"/>
      <c r="AR104" s="19"/>
      <c r="AS104" s="19"/>
      <c r="AT104" s="19"/>
      <c r="AU104" s="19"/>
      <c r="AV104" s="19"/>
      <c r="AW104" s="19"/>
      <c r="AX104" s="19"/>
      <c r="AY104" s="19"/>
      <c r="AZ104" s="19"/>
      <c r="BA104" s="19"/>
      <c r="BB104" s="19"/>
      <c r="BC104" s="20"/>
      <c r="BD104" s="19"/>
      <c r="BE104" s="19"/>
      <c r="BF104" s="19"/>
      <c r="BG104" s="19"/>
      <c r="BH104" s="19"/>
    </row>
    <row r="105" spans="1:60" x14ac:dyDescent="0.25">
      <c r="B105" s="116"/>
      <c r="C105" s="116"/>
      <c r="D105" s="116"/>
      <c r="E105" s="116"/>
      <c r="F105" s="116"/>
      <c r="G105" s="116"/>
      <c r="H105" s="116"/>
      <c r="I105" s="116"/>
      <c r="J105" s="116"/>
      <c r="K105" s="116"/>
      <c r="L105" s="116"/>
      <c r="M105" s="116"/>
      <c r="N105" s="116"/>
      <c r="O105" s="116"/>
      <c r="P105" s="116"/>
      <c r="Q105" s="116"/>
      <c r="R105" s="116"/>
      <c r="S105" s="116"/>
      <c r="T105" s="116"/>
      <c r="U105" s="116"/>
      <c r="V105" s="116"/>
      <c r="Z105" s="13"/>
      <c r="AO105" s="18"/>
      <c r="AP105" s="19"/>
      <c r="AQ105" s="19"/>
      <c r="AR105" s="19"/>
      <c r="AS105" s="19"/>
      <c r="AT105" s="19"/>
      <c r="AU105" s="19"/>
      <c r="AV105" s="19"/>
      <c r="AW105" s="19"/>
      <c r="AX105" s="19"/>
      <c r="AY105" s="19"/>
      <c r="AZ105" s="19"/>
      <c r="BA105" s="19"/>
      <c r="BB105" s="19"/>
      <c r="BC105" s="20"/>
      <c r="BD105" s="19"/>
      <c r="BE105" s="19"/>
      <c r="BF105" s="19"/>
      <c r="BG105" s="19"/>
      <c r="BH105" s="19"/>
    </row>
    <row r="106" spans="1:60" x14ac:dyDescent="0.25">
      <c r="B106" s="116"/>
      <c r="C106" s="116"/>
      <c r="D106" s="116"/>
      <c r="E106" s="116"/>
      <c r="F106" s="116"/>
      <c r="G106" s="116"/>
      <c r="H106" s="116"/>
      <c r="I106" s="116"/>
      <c r="J106" s="116"/>
      <c r="K106" s="116"/>
      <c r="L106" s="116"/>
      <c r="M106" s="116"/>
      <c r="N106" s="116"/>
      <c r="O106" s="116"/>
      <c r="P106" s="116"/>
      <c r="Q106" s="116"/>
      <c r="R106" s="116"/>
      <c r="S106" s="116"/>
      <c r="T106" s="116"/>
      <c r="U106" s="116"/>
      <c r="V106" s="116"/>
      <c r="AO106" s="18"/>
      <c r="AP106" s="19"/>
      <c r="AQ106" s="19"/>
      <c r="AR106" s="19"/>
      <c r="AS106" s="19"/>
      <c r="AT106" s="19"/>
      <c r="AU106" s="19"/>
      <c r="AV106" s="19"/>
      <c r="AW106" s="19"/>
      <c r="AX106" s="19"/>
      <c r="AY106" s="19"/>
      <c r="AZ106" s="19"/>
      <c r="BA106" s="19"/>
      <c r="BB106" s="19"/>
      <c r="BC106" s="20"/>
      <c r="BD106" s="19"/>
      <c r="BE106" s="19"/>
      <c r="BF106" s="19"/>
      <c r="BG106" s="19"/>
      <c r="BH106" s="19"/>
    </row>
    <row r="107" spans="1:60" x14ac:dyDescent="0.25">
      <c r="B107" s="116"/>
      <c r="C107" s="116"/>
      <c r="D107" s="116"/>
      <c r="E107" s="116"/>
      <c r="F107" s="116"/>
      <c r="G107" s="116"/>
      <c r="H107" s="116"/>
      <c r="I107" s="116"/>
      <c r="J107" s="116"/>
      <c r="K107" s="116"/>
      <c r="L107" s="116"/>
      <c r="M107" s="116"/>
      <c r="N107" s="116"/>
      <c r="O107" s="116"/>
      <c r="P107" s="116"/>
      <c r="Q107" s="116"/>
      <c r="R107" s="116"/>
      <c r="S107" s="116"/>
      <c r="T107" s="116"/>
      <c r="U107" s="116"/>
      <c r="V107" s="116"/>
      <c r="AO107" s="18"/>
      <c r="AP107" s="19"/>
      <c r="AQ107" s="19"/>
      <c r="AR107" s="19"/>
      <c r="AS107" s="19"/>
      <c r="AT107" s="19"/>
      <c r="AU107" s="19"/>
      <c r="AV107" s="19"/>
      <c r="AW107" s="19"/>
      <c r="AX107" s="19"/>
      <c r="AY107" s="19"/>
      <c r="AZ107" s="19"/>
      <c r="BA107" s="19"/>
      <c r="BB107" s="19"/>
      <c r="BC107" s="20"/>
      <c r="BD107" s="19"/>
      <c r="BE107" s="19"/>
      <c r="BF107" s="19"/>
      <c r="BG107" s="19"/>
      <c r="BH107" s="19"/>
    </row>
    <row r="108" spans="1:60" x14ac:dyDescent="0.25">
      <c r="B108" s="116"/>
      <c r="C108" s="116"/>
      <c r="D108" s="116"/>
      <c r="E108" s="116"/>
      <c r="F108" s="116"/>
      <c r="G108" s="116"/>
      <c r="H108" s="116"/>
      <c r="I108" s="116"/>
      <c r="J108" s="116"/>
      <c r="K108" s="116"/>
      <c r="L108" s="116"/>
      <c r="M108" s="116"/>
      <c r="N108" s="116"/>
      <c r="O108" s="116"/>
      <c r="P108" s="116"/>
      <c r="Q108" s="116"/>
      <c r="R108" s="116"/>
      <c r="S108" s="116"/>
      <c r="T108" s="116"/>
      <c r="U108" s="116"/>
      <c r="V108" s="116"/>
      <c r="AO108" s="18"/>
      <c r="AP108" s="19"/>
      <c r="AQ108" s="19"/>
      <c r="AR108" s="19"/>
      <c r="AS108" s="19"/>
      <c r="AT108" s="19"/>
      <c r="AU108" s="19"/>
      <c r="AV108" s="19"/>
      <c r="AW108" s="19"/>
      <c r="AX108" s="19"/>
      <c r="AY108" s="19"/>
      <c r="AZ108" s="19"/>
      <c r="BA108" s="19"/>
      <c r="BB108" s="19"/>
      <c r="BC108" s="20"/>
      <c r="BD108" s="19"/>
      <c r="BE108" s="19"/>
      <c r="BF108" s="19"/>
      <c r="BG108" s="19"/>
      <c r="BH108" s="19"/>
    </row>
    <row r="109" spans="1:60" x14ac:dyDescent="0.25">
      <c r="A109" s="116"/>
      <c r="B109" s="116"/>
      <c r="C109" s="116"/>
      <c r="D109" s="116"/>
      <c r="E109" s="116"/>
      <c r="F109" s="116"/>
      <c r="G109" s="116"/>
      <c r="H109" s="116"/>
      <c r="I109" s="116"/>
      <c r="J109" s="116"/>
      <c r="K109" s="116"/>
      <c r="L109" s="116"/>
      <c r="M109" s="116"/>
      <c r="N109" s="116"/>
      <c r="O109" s="116"/>
      <c r="P109" s="116"/>
      <c r="Q109" s="116"/>
      <c r="R109" s="116"/>
      <c r="S109" s="116"/>
      <c r="T109" s="116"/>
      <c r="U109" s="116"/>
      <c r="V109" s="116"/>
      <c r="Z109" s="107" t="s">
        <v>278</v>
      </c>
      <c r="AA109" s="108"/>
      <c r="AB109" s="108"/>
      <c r="AC109" s="108"/>
      <c r="AD109" s="108"/>
      <c r="AE109" s="108"/>
      <c r="AF109" s="29"/>
      <c r="AG109" s="29" t="s">
        <v>186</v>
      </c>
      <c r="AH109" s="29"/>
      <c r="AI109" s="30"/>
      <c r="AO109" s="18"/>
      <c r="AP109" s="19"/>
      <c r="AQ109" s="19"/>
      <c r="AR109" s="19"/>
      <c r="AS109" s="19"/>
      <c r="AT109" s="19"/>
      <c r="AU109" s="19"/>
      <c r="AV109" s="19"/>
      <c r="AW109" s="19"/>
      <c r="AX109" s="19"/>
      <c r="AY109" s="19"/>
      <c r="AZ109" s="19"/>
      <c r="BA109" s="19"/>
      <c r="BB109" s="19"/>
      <c r="BC109" s="20"/>
      <c r="BD109" s="19"/>
      <c r="BE109" s="19"/>
      <c r="BF109" s="19"/>
      <c r="BG109" s="19"/>
      <c r="BH109" s="19"/>
    </row>
    <row r="110" spans="1:60" x14ac:dyDescent="0.25">
      <c r="A110" s="116"/>
      <c r="B110" s="116"/>
      <c r="C110" s="116"/>
      <c r="D110" s="116"/>
      <c r="E110" s="116"/>
      <c r="F110" s="116"/>
      <c r="G110" s="116"/>
      <c r="H110" s="116"/>
      <c r="I110" s="116"/>
      <c r="J110" s="116"/>
      <c r="K110" s="116"/>
      <c r="L110" s="116"/>
      <c r="M110" s="116"/>
      <c r="N110" s="116"/>
      <c r="O110" s="116"/>
      <c r="P110" s="116"/>
      <c r="Q110" s="116"/>
      <c r="R110" s="116"/>
      <c r="S110" s="116"/>
      <c r="T110" s="116"/>
      <c r="U110" s="116"/>
      <c r="V110" s="116"/>
      <c r="Z110" s="31"/>
      <c r="AA110" s="19"/>
      <c r="AB110" s="19" t="s">
        <v>180</v>
      </c>
      <c r="AC110" s="19" t="s">
        <v>3</v>
      </c>
      <c r="AD110" s="19" t="s">
        <v>181</v>
      </c>
      <c r="AE110" s="19" t="s">
        <v>181</v>
      </c>
      <c r="AF110" s="19"/>
      <c r="AG110" s="19" t="s">
        <v>182</v>
      </c>
      <c r="AH110" s="19" t="s">
        <v>274</v>
      </c>
      <c r="AI110" s="32"/>
      <c r="AO110" s="18"/>
      <c r="AP110" s="19"/>
      <c r="AQ110" s="19"/>
      <c r="AR110" s="19"/>
      <c r="AS110" s="19"/>
      <c r="AT110" s="19"/>
      <c r="AU110" s="19"/>
      <c r="AV110" s="19"/>
      <c r="AW110" s="19"/>
      <c r="AX110" s="19"/>
      <c r="AY110" s="19"/>
      <c r="AZ110" s="19"/>
      <c r="BA110" s="19"/>
      <c r="BB110" s="19"/>
      <c r="BC110" s="20"/>
      <c r="BD110" s="19"/>
      <c r="BE110" s="19"/>
      <c r="BF110" s="19"/>
      <c r="BG110" s="19"/>
      <c r="BH110" s="19"/>
    </row>
    <row r="111" spans="1:60" x14ac:dyDescent="0.25">
      <c r="Z111" s="31" t="s">
        <v>174</v>
      </c>
      <c r="AA111" s="19" t="s">
        <v>175</v>
      </c>
      <c r="AB111" s="19" t="s">
        <v>177</v>
      </c>
      <c r="AC111" s="19" t="s">
        <v>179</v>
      </c>
      <c r="AD111" s="19" t="s">
        <v>177</v>
      </c>
      <c r="AE111" s="19" t="s">
        <v>179</v>
      </c>
      <c r="AF111" s="19"/>
      <c r="AG111" s="19" t="s">
        <v>183</v>
      </c>
      <c r="AH111" s="19" t="s">
        <v>275</v>
      </c>
      <c r="AI111" s="32"/>
      <c r="AO111" s="112"/>
      <c r="AP111" s="113" t="s">
        <v>151</v>
      </c>
      <c r="AQ111" s="113"/>
      <c r="AR111" s="113"/>
      <c r="AS111" s="113"/>
      <c r="AT111" s="113"/>
      <c r="AU111" s="113"/>
      <c r="AV111" s="113"/>
      <c r="AW111" s="113"/>
      <c r="AX111" s="113"/>
      <c r="AY111" s="113"/>
      <c r="AZ111" s="113"/>
      <c r="BA111" s="113"/>
      <c r="BB111" s="113"/>
      <c r="BC111" s="114"/>
      <c r="BD111" s="19"/>
      <c r="BE111" s="19"/>
      <c r="BF111" s="19"/>
      <c r="BG111" s="19"/>
      <c r="BH111" s="19"/>
    </row>
    <row r="112" spans="1:60" x14ac:dyDescent="0.25">
      <c r="Z112" s="31" t="s">
        <v>84</v>
      </c>
      <c r="AA112" s="19" t="s">
        <v>176</v>
      </c>
      <c r="AB112" s="19" t="s">
        <v>130</v>
      </c>
      <c r="AC112" s="19" t="s">
        <v>130</v>
      </c>
      <c r="AD112" s="19" t="s">
        <v>130</v>
      </c>
      <c r="AE112" s="19" t="s">
        <v>130</v>
      </c>
      <c r="AF112" s="19"/>
      <c r="AG112" s="19" t="s">
        <v>184</v>
      </c>
      <c r="AH112" s="19" t="s">
        <v>276</v>
      </c>
      <c r="AI112" s="32"/>
      <c r="AO112" s="18"/>
      <c r="AP112" s="19"/>
      <c r="AQ112" s="19"/>
      <c r="AR112" s="19"/>
      <c r="AS112" s="19"/>
      <c r="AT112" s="19"/>
      <c r="AU112" s="19"/>
      <c r="AV112" s="19"/>
      <c r="AW112" s="19"/>
      <c r="AX112" s="19"/>
      <c r="AY112" s="19"/>
      <c r="AZ112" s="19"/>
      <c r="BA112" s="19"/>
      <c r="BB112" s="19"/>
      <c r="BC112" s="20"/>
      <c r="BD112" s="19"/>
      <c r="BE112" s="19"/>
      <c r="BF112" s="19"/>
      <c r="BG112" s="19"/>
      <c r="BH112" s="19"/>
    </row>
    <row r="113" spans="26:60" x14ac:dyDescent="0.25">
      <c r="Z113" s="31" t="s">
        <v>68</v>
      </c>
      <c r="AA113" s="19" t="s">
        <v>68</v>
      </c>
      <c r="AB113" s="19" t="s">
        <v>178</v>
      </c>
      <c r="AC113" s="19" t="s">
        <v>178</v>
      </c>
      <c r="AD113" s="19" t="s">
        <v>178</v>
      </c>
      <c r="AE113" s="19" t="s">
        <v>178</v>
      </c>
      <c r="AF113" s="19"/>
      <c r="AG113" s="19" t="s">
        <v>185</v>
      </c>
      <c r="AH113" s="19" t="s">
        <v>277</v>
      </c>
      <c r="AI113" s="32"/>
      <c r="AO113" s="18" t="s">
        <v>154</v>
      </c>
      <c r="AP113" s="19">
        <f t="shared" ref="AP113:AZ113" si="70">H7</f>
        <v>0</v>
      </c>
      <c r="AQ113" s="19">
        <f t="shared" si="70"/>
        <v>0</v>
      </c>
      <c r="AR113" s="19">
        <f t="shared" si="70"/>
        <v>0</v>
      </c>
      <c r="AS113" s="19">
        <f t="shared" si="70"/>
        <v>0</v>
      </c>
      <c r="AT113" s="19">
        <f t="shared" si="70"/>
        <v>0</v>
      </c>
      <c r="AU113" s="19">
        <f t="shared" si="70"/>
        <v>0</v>
      </c>
      <c r="AV113" s="19">
        <f t="shared" si="70"/>
        <v>0</v>
      </c>
      <c r="AW113" s="19">
        <f t="shared" si="70"/>
        <v>0</v>
      </c>
      <c r="AX113" s="19">
        <f t="shared" si="70"/>
        <v>0</v>
      </c>
      <c r="AY113" s="19">
        <f t="shared" si="70"/>
        <v>0</v>
      </c>
      <c r="AZ113" s="19">
        <f t="shared" si="70"/>
        <v>0</v>
      </c>
      <c r="BA113" s="19"/>
      <c r="BB113" s="19"/>
      <c r="BC113" s="20">
        <f>S7</f>
        <v>0</v>
      </c>
      <c r="BD113" s="19"/>
      <c r="BE113" s="19"/>
      <c r="BF113" s="19"/>
      <c r="BG113" s="19"/>
      <c r="BH113" s="19"/>
    </row>
    <row r="114" spans="26:60" x14ac:dyDescent="0.25">
      <c r="Z114" s="31">
        <f>B63</f>
        <v>0</v>
      </c>
      <c r="AA114" s="19">
        <f>INT(Z114)</f>
        <v>0</v>
      </c>
      <c r="AB114" s="19" t="str">
        <f>CONCATENATE(AA114,".3L")</f>
        <v>0.3L</v>
      </c>
      <c r="AC114" s="19" t="str">
        <f>CONCATENATE(AA114,".4R")</f>
        <v>0.4R</v>
      </c>
      <c r="AD114" s="19" t="str">
        <f>CONCATENATE(AA114,".3LC")</f>
        <v>0.3LC</v>
      </c>
      <c r="AE114" s="19" t="str">
        <f>CONCATENATE(AA114,".4RC")</f>
        <v>0.4RC</v>
      </c>
      <c r="AF114" s="19"/>
      <c r="AG114" s="19" t="str">
        <f>IF(Z114&gt;0,ROUND(MOD(Z114,1),1),"")</f>
        <v/>
      </c>
      <c r="AH114" s="19" t="str">
        <f>IF(Z114&gt;0,IF(OR(AG114=0.1,AG114=0.2),"No","Yes"),"")</f>
        <v/>
      </c>
      <c r="AI114" s="32" t="str">
        <f>IF($AH$114="Yes","Out of","")</f>
        <v/>
      </c>
      <c r="AJ114" t="str">
        <f>IF($AH$114="Yes","Range","")</f>
        <v/>
      </c>
      <c r="AO114" s="18" t="s">
        <v>155</v>
      </c>
      <c r="AP114" s="19">
        <f t="shared" ref="AP114:AZ114" si="71">H11</f>
        <v>0</v>
      </c>
      <c r="AQ114" s="19">
        <f t="shared" si="71"/>
        <v>0</v>
      </c>
      <c r="AR114" s="19">
        <f t="shared" si="71"/>
        <v>0</v>
      </c>
      <c r="AS114" s="19">
        <f t="shared" si="71"/>
        <v>0</v>
      </c>
      <c r="AT114" s="19">
        <f t="shared" si="71"/>
        <v>0</v>
      </c>
      <c r="AU114" s="19">
        <f t="shared" si="71"/>
        <v>0</v>
      </c>
      <c r="AV114" s="19">
        <f t="shared" si="71"/>
        <v>0</v>
      </c>
      <c r="AW114" s="19">
        <f t="shared" si="71"/>
        <v>0</v>
      </c>
      <c r="AX114" s="19">
        <f t="shared" si="71"/>
        <v>0</v>
      </c>
      <c r="AY114" s="19">
        <f t="shared" si="71"/>
        <v>0</v>
      </c>
      <c r="AZ114" s="19">
        <f t="shared" si="71"/>
        <v>0</v>
      </c>
      <c r="BA114" s="19"/>
      <c r="BB114" s="19"/>
      <c r="BC114" s="20">
        <f>S11</f>
        <v>0</v>
      </c>
      <c r="BD114" s="19"/>
      <c r="BE114" s="19"/>
      <c r="BF114" s="19"/>
      <c r="BG114" s="19"/>
      <c r="BH114" s="19"/>
    </row>
    <row r="115" spans="26:60" x14ac:dyDescent="0.25">
      <c r="Z115" s="31">
        <f>B67</f>
        <v>0</v>
      </c>
      <c r="AA115" s="19">
        <f>INT(Z115)</f>
        <v>0</v>
      </c>
      <c r="AB115" s="19" t="str">
        <f>CONCATENATE(AA115,".3L")</f>
        <v>0.3L</v>
      </c>
      <c r="AC115" s="19" t="str">
        <f>CONCATENATE(AA115,".4R")</f>
        <v>0.4R</v>
      </c>
      <c r="AD115" s="19" t="str">
        <f>CONCATENATE(AA115,".3LC")</f>
        <v>0.3LC</v>
      </c>
      <c r="AE115" s="19" t="str">
        <f>CONCATENATE(AA115,".4RC")</f>
        <v>0.4RC</v>
      </c>
      <c r="AF115" s="19"/>
      <c r="AG115" s="19" t="str">
        <f>IF(Z115&gt;0,ROUND(MOD(Z115,1),1),"")</f>
        <v/>
      </c>
      <c r="AH115" s="19" t="str">
        <f>IF(Z115&gt;0,IF(OR(AG115=0.1,AG115=0.2),"No","Yes"),"")</f>
        <v/>
      </c>
      <c r="AI115" s="32" t="str">
        <f>IF($AH$115="Yes","Out of","")</f>
        <v/>
      </c>
      <c r="AJ115" t="str">
        <f>IF($AH$115="Yes","Range","")</f>
        <v/>
      </c>
      <c r="AO115" s="18" t="s">
        <v>156</v>
      </c>
      <c r="AP115" s="19" t="str">
        <f t="shared" ref="AP115:AZ116" si="72">IF(H12="","",H12)</f>
        <v/>
      </c>
      <c r="AQ115" s="19" t="str">
        <f t="shared" si="72"/>
        <v/>
      </c>
      <c r="AR115" s="19" t="str">
        <f t="shared" si="72"/>
        <v/>
      </c>
      <c r="AS115" s="19" t="str">
        <f t="shared" si="72"/>
        <v/>
      </c>
      <c r="AT115" s="19" t="str">
        <f t="shared" si="72"/>
        <v/>
      </c>
      <c r="AU115" s="19" t="str">
        <f t="shared" si="72"/>
        <v/>
      </c>
      <c r="AV115" s="19" t="str">
        <f t="shared" si="72"/>
        <v/>
      </c>
      <c r="AW115" s="19" t="str">
        <f t="shared" si="72"/>
        <v/>
      </c>
      <c r="AX115" s="19" t="str">
        <f t="shared" si="72"/>
        <v/>
      </c>
      <c r="AY115" s="19" t="str">
        <f t="shared" si="72"/>
        <v/>
      </c>
      <c r="AZ115" s="19" t="str">
        <f t="shared" si="72"/>
        <v/>
      </c>
      <c r="BA115" s="19"/>
      <c r="BB115" s="19"/>
      <c r="BC115" s="20" t="str">
        <f>IF(S12="","",S12)</f>
        <v/>
      </c>
      <c r="BD115" s="19"/>
      <c r="BE115" s="19"/>
      <c r="BF115" s="19"/>
      <c r="BG115" s="19"/>
      <c r="BH115" s="19"/>
    </row>
    <row r="116" spans="26:60" x14ac:dyDescent="0.25">
      <c r="Z116" s="31"/>
      <c r="AA116" s="19"/>
      <c r="AB116" s="19"/>
      <c r="AC116" s="19"/>
      <c r="AD116" s="19"/>
      <c r="AE116" s="19"/>
      <c r="AF116" s="19"/>
      <c r="AG116" s="19"/>
      <c r="AH116" s="19"/>
      <c r="AI116" s="32"/>
      <c r="AO116" s="18" t="s">
        <v>157</v>
      </c>
      <c r="AP116" s="19" t="str">
        <f t="shared" si="72"/>
        <v/>
      </c>
      <c r="AQ116" s="19" t="str">
        <f t="shared" si="72"/>
        <v/>
      </c>
      <c r="AR116" s="19" t="str">
        <f t="shared" si="72"/>
        <v/>
      </c>
      <c r="AS116" s="19" t="str">
        <f t="shared" si="72"/>
        <v/>
      </c>
      <c r="AT116" s="19" t="str">
        <f t="shared" si="72"/>
        <v/>
      </c>
      <c r="AU116" s="19" t="str">
        <f t="shared" si="72"/>
        <v/>
      </c>
      <c r="AV116" s="19" t="str">
        <f t="shared" si="72"/>
        <v/>
      </c>
      <c r="AW116" s="19" t="str">
        <f t="shared" si="72"/>
        <v/>
      </c>
      <c r="AX116" s="19" t="str">
        <f t="shared" si="72"/>
        <v/>
      </c>
      <c r="AY116" s="19" t="str">
        <f t="shared" si="72"/>
        <v/>
      </c>
      <c r="AZ116" s="19" t="str">
        <f t="shared" si="72"/>
        <v/>
      </c>
      <c r="BA116" s="19"/>
      <c r="BB116" s="19"/>
      <c r="BC116" s="20" t="str">
        <f>IF(S13="","",S13)</f>
        <v/>
      </c>
      <c r="BD116" s="19"/>
      <c r="BE116" s="19"/>
      <c r="BF116" s="19"/>
      <c r="BG116" s="19"/>
      <c r="BH116" s="19"/>
    </row>
    <row r="117" spans="26:60" x14ac:dyDescent="0.25">
      <c r="Z117" s="43"/>
      <c r="AA117" s="35"/>
      <c r="AB117" s="35"/>
      <c r="AC117" s="35"/>
      <c r="AD117" s="35"/>
      <c r="AE117" s="35"/>
      <c r="AF117" s="35"/>
      <c r="AG117" s="35"/>
      <c r="AH117" s="35"/>
      <c r="AI117" s="36"/>
      <c r="AO117" s="18"/>
      <c r="AP117" s="19"/>
      <c r="AQ117" s="19"/>
      <c r="AR117" s="19"/>
      <c r="AS117" s="19"/>
      <c r="AT117" s="19"/>
      <c r="AU117" s="19"/>
      <c r="AV117" s="19"/>
      <c r="AW117" s="19"/>
      <c r="AX117" s="19"/>
      <c r="AY117" s="19"/>
      <c r="AZ117" s="19"/>
      <c r="BA117" s="19"/>
      <c r="BB117" s="19"/>
      <c r="BC117" s="20"/>
      <c r="BD117" s="19"/>
      <c r="BE117" s="19"/>
      <c r="BF117" s="19"/>
      <c r="BG117" s="19"/>
      <c r="BH117" s="19"/>
    </row>
    <row r="118" spans="26:60" x14ac:dyDescent="0.25">
      <c r="AO118" s="18" t="s">
        <v>158</v>
      </c>
      <c r="AQ118" s="19">
        <f>COUNT(AP115:BC115)</f>
        <v>0</v>
      </c>
      <c r="AR118" s="19"/>
      <c r="AS118" s="19"/>
      <c r="AT118" s="19"/>
      <c r="AU118" s="19"/>
      <c r="AV118" s="19"/>
      <c r="AW118" s="19"/>
      <c r="AX118" s="19"/>
      <c r="AY118" s="19"/>
      <c r="AZ118" s="19"/>
      <c r="BA118" s="19"/>
      <c r="BB118" s="19"/>
      <c r="BC118" s="20"/>
      <c r="BD118" s="19"/>
      <c r="BE118" s="19"/>
      <c r="BF118" s="19"/>
      <c r="BG118" s="19"/>
      <c r="BH118" s="19"/>
    </row>
    <row r="119" spans="26:60" x14ac:dyDescent="0.25">
      <c r="AO119" s="18"/>
      <c r="AP119" s="19"/>
      <c r="AQ119" s="19"/>
      <c r="AR119" s="19"/>
      <c r="AS119" s="19"/>
      <c r="AT119" s="19"/>
      <c r="AU119" s="19"/>
      <c r="AV119" s="19"/>
      <c r="AW119" s="19"/>
      <c r="AX119" s="19"/>
      <c r="AY119" s="19"/>
      <c r="AZ119" s="19"/>
      <c r="BA119" s="19"/>
      <c r="BB119" s="19"/>
      <c r="BC119" s="20"/>
      <c r="BD119" s="19"/>
      <c r="BE119" s="19"/>
      <c r="BF119" s="19"/>
      <c r="BG119" s="19"/>
      <c r="BH119" s="19"/>
    </row>
    <row r="120" spans="26:60" x14ac:dyDescent="0.25">
      <c r="AO120" s="18" t="s">
        <v>159</v>
      </c>
      <c r="AQ120" s="19" t="e">
        <f>IF(AQ118=1,AP116,IF(AQ118=2,AQ116,AVERAGE(AP115:BC115)))</f>
        <v>#DIV/0!</v>
      </c>
      <c r="AR120" s="19"/>
      <c r="AS120" s="19" t="s">
        <v>160</v>
      </c>
      <c r="AT120" s="19"/>
      <c r="AU120" s="19"/>
      <c r="AV120" s="19"/>
      <c r="AW120" s="19"/>
      <c r="AX120" s="19"/>
      <c r="AY120" s="19"/>
      <c r="AZ120" s="19"/>
      <c r="BA120" s="19"/>
      <c r="BB120" s="19"/>
      <c r="BC120" s="20"/>
      <c r="BD120" s="19"/>
      <c r="BE120" s="19"/>
      <c r="BF120" s="19"/>
      <c r="BG120" s="19"/>
      <c r="BH120" s="19"/>
    </row>
    <row r="121" spans="26:60" x14ac:dyDescent="0.25">
      <c r="AO121" s="18"/>
      <c r="AQ121" s="19"/>
      <c r="AR121" s="19"/>
      <c r="AS121" s="19" t="s">
        <v>161</v>
      </c>
      <c r="AT121" s="19"/>
      <c r="AU121" s="19"/>
      <c r="AV121" s="19"/>
      <c r="AW121" s="19"/>
      <c r="AX121" s="19"/>
      <c r="AY121" s="19"/>
      <c r="AZ121" s="19"/>
      <c r="BA121" s="19"/>
      <c r="BB121" s="19"/>
      <c r="BC121" s="20"/>
      <c r="BD121" s="19"/>
      <c r="BE121" s="19"/>
      <c r="BF121" s="19"/>
      <c r="BG121" s="19"/>
      <c r="BH121" s="19"/>
    </row>
    <row r="122" spans="26:60" x14ac:dyDescent="0.25">
      <c r="Z122" s="229" t="s">
        <v>360</v>
      </c>
      <c r="AA122" s="230"/>
      <c r="AB122" s="230"/>
      <c r="AC122" s="230"/>
      <c r="AD122" s="230"/>
      <c r="AE122" s="231"/>
      <c r="AO122" s="18"/>
      <c r="AP122" s="19"/>
      <c r="AQ122" s="19"/>
      <c r="AR122" s="19"/>
      <c r="AS122" s="19"/>
      <c r="AT122" s="19"/>
      <c r="AU122" s="19"/>
      <c r="AV122" s="19"/>
      <c r="AW122" s="19"/>
      <c r="AX122" s="19"/>
      <c r="AY122" s="19"/>
      <c r="AZ122" s="19"/>
      <c r="BA122" s="19"/>
      <c r="BB122" s="19"/>
      <c r="BC122" s="20"/>
      <c r="BD122" s="19"/>
      <c r="BE122" s="19"/>
      <c r="BF122" s="19"/>
      <c r="BG122" s="19"/>
      <c r="BH122" s="19"/>
    </row>
    <row r="123" spans="26:60" x14ac:dyDescent="0.25">
      <c r="Z123" s="31"/>
      <c r="AA123" s="19"/>
      <c r="AB123" s="19"/>
      <c r="AC123" s="19"/>
      <c r="AD123" s="19"/>
      <c r="AE123" s="32"/>
      <c r="AO123" s="18"/>
      <c r="AP123" s="19"/>
      <c r="AQ123" s="19"/>
      <c r="AR123" s="19"/>
      <c r="AS123" s="19"/>
      <c r="AT123" s="19"/>
      <c r="AU123" s="19"/>
      <c r="AV123" s="19"/>
      <c r="AW123" s="19"/>
      <c r="AX123" s="19"/>
      <c r="AY123" s="19"/>
      <c r="AZ123" s="19"/>
      <c r="BA123" s="19"/>
      <c r="BB123" s="19"/>
      <c r="BC123" s="20"/>
      <c r="BD123" s="19"/>
      <c r="BE123" s="19"/>
      <c r="BF123" s="19"/>
      <c r="BG123" s="19"/>
      <c r="BH123" s="19"/>
    </row>
    <row r="124" spans="26:60" x14ac:dyDescent="0.25">
      <c r="Z124" s="31" t="s">
        <v>84</v>
      </c>
      <c r="AA124" s="19"/>
      <c r="AB124" s="19"/>
      <c r="AC124" s="19"/>
      <c r="AD124" s="19"/>
      <c r="AE124" s="32"/>
      <c r="AO124" s="18"/>
      <c r="AP124" s="19"/>
      <c r="AQ124" s="19"/>
      <c r="AR124" s="19"/>
      <c r="AS124" s="19"/>
      <c r="AT124" s="19"/>
      <c r="AU124" s="19"/>
      <c r="AV124" s="19"/>
      <c r="AW124" s="19"/>
      <c r="AX124" s="19"/>
      <c r="AY124" s="19"/>
      <c r="AZ124" s="19"/>
      <c r="BA124" s="19"/>
      <c r="BB124" s="19"/>
      <c r="BC124" s="20"/>
      <c r="BD124" s="19"/>
      <c r="BE124" s="19"/>
      <c r="BF124" s="19"/>
      <c r="BG124" s="19"/>
      <c r="BH124" s="19"/>
    </row>
    <row r="125" spans="26:60" ht="15.75" thickBot="1" x14ac:dyDescent="0.3">
      <c r="Z125" s="31"/>
      <c r="AA125" s="19"/>
      <c r="AB125" s="19"/>
      <c r="AC125" s="19"/>
      <c r="AD125" s="19"/>
      <c r="AE125" s="32"/>
      <c r="AO125" s="24"/>
      <c r="AP125" s="25"/>
      <c r="AQ125" s="25"/>
      <c r="AR125" s="25"/>
      <c r="AS125" s="25"/>
      <c r="AT125" s="25"/>
      <c r="AU125" s="25"/>
      <c r="AV125" s="25"/>
      <c r="AW125" s="25"/>
      <c r="AX125" s="25"/>
      <c r="AY125" s="25"/>
      <c r="AZ125" s="25"/>
      <c r="BA125" s="25"/>
      <c r="BB125" s="25"/>
      <c r="BC125" s="26"/>
      <c r="BD125" s="19"/>
      <c r="BE125" s="19"/>
      <c r="BF125" s="19"/>
      <c r="BG125" s="19"/>
      <c r="BH125" s="19"/>
    </row>
    <row r="126" spans="26:60" ht="15.75" thickTop="1" x14ac:dyDescent="0.25">
      <c r="Z126" s="31" t="s">
        <v>361</v>
      </c>
      <c r="AA126" s="19"/>
      <c r="AB126" s="19">
        <f>AC46</f>
        <v>40</v>
      </c>
      <c r="AC126" s="19"/>
      <c r="AD126" s="19"/>
      <c r="AE126" s="32"/>
    </row>
    <row r="127" spans="26:60" x14ac:dyDescent="0.25">
      <c r="Z127" s="31" t="s">
        <v>224</v>
      </c>
      <c r="AA127" s="19"/>
      <c r="AB127" s="19" t="str">
        <f>AD76</f>
        <v>No</v>
      </c>
      <c r="AC127" s="19"/>
      <c r="AD127" s="19"/>
      <c r="AE127" s="32"/>
    </row>
    <row r="128" spans="26:60" x14ac:dyDescent="0.25">
      <c r="Z128" s="31"/>
      <c r="AA128" s="19"/>
      <c r="AB128" s="19"/>
      <c r="AC128" s="19"/>
      <c r="AD128" s="19"/>
      <c r="AE128" s="32"/>
    </row>
    <row r="129" spans="26:31" x14ac:dyDescent="0.25">
      <c r="Z129" s="31" t="s">
        <v>362</v>
      </c>
      <c r="AA129" s="19"/>
      <c r="AB129" s="19"/>
      <c r="AC129" s="19"/>
      <c r="AD129" s="19">
        <f>IF(AND(AB126=40,AB127="No"),92,IF(AND(AB126=40,AB127="Yes"),91,IF(AND(AB126=30,AB127="No"),93,92)))</f>
        <v>92</v>
      </c>
      <c r="AE129" s="32"/>
    </row>
    <row r="130" spans="26:31" x14ac:dyDescent="0.25">
      <c r="Z130" s="31"/>
      <c r="AA130" s="19"/>
      <c r="AB130" s="19"/>
      <c r="AC130" s="19"/>
      <c r="AD130" s="19"/>
      <c r="AE130" s="32"/>
    </row>
    <row r="131" spans="26:31" x14ac:dyDescent="0.25">
      <c r="Z131" s="31" t="s">
        <v>363</v>
      </c>
      <c r="AA131" s="19"/>
      <c r="AB131" s="19"/>
      <c r="AC131" s="19"/>
      <c r="AD131" s="19">
        <f>IF(AB126=40,89.5,90.5)</f>
        <v>89.5</v>
      </c>
      <c r="AE131" s="32"/>
    </row>
    <row r="132" spans="26:31" x14ac:dyDescent="0.25">
      <c r="Z132" s="43" t="s">
        <v>364</v>
      </c>
      <c r="AA132" s="35"/>
      <c r="AB132" s="35"/>
      <c r="AC132" s="35"/>
      <c r="AD132" s="35">
        <f>IF(AB126=40,88.1,89.1)</f>
        <v>88.1</v>
      </c>
      <c r="AE132" s="36"/>
    </row>
  </sheetData>
  <sheetProtection password="B9FE" sheet="1" objects="1" scenarios="1"/>
  <mergeCells count="62">
    <mergeCell ref="S72:T72"/>
    <mergeCell ref="S73:T73"/>
    <mergeCell ref="S74:T74"/>
    <mergeCell ref="T42:U42"/>
    <mergeCell ref="T46:U46"/>
    <mergeCell ref="T50:U50"/>
    <mergeCell ref="T54:U54"/>
    <mergeCell ref="T58:U58"/>
    <mergeCell ref="T68:U68"/>
    <mergeCell ref="T63:U63"/>
    <mergeCell ref="T60:U60"/>
    <mergeCell ref="T61:U61"/>
    <mergeCell ref="Q2:R2"/>
    <mergeCell ref="B11:C11"/>
    <mergeCell ref="Q3:R3"/>
    <mergeCell ref="Q4:R4"/>
    <mergeCell ref="F12:G12"/>
    <mergeCell ref="N3:O3"/>
    <mergeCell ref="K6:L6"/>
    <mergeCell ref="I3:J3"/>
    <mergeCell ref="I4:J4"/>
    <mergeCell ref="N2:O2"/>
    <mergeCell ref="N6:O6"/>
    <mergeCell ref="K3:L3"/>
    <mergeCell ref="E3:G3"/>
    <mergeCell ref="B10:C10"/>
    <mergeCell ref="F10:G10"/>
    <mergeCell ref="F11:G11"/>
    <mergeCell ref="BX8:CB8"/>
    <mergeCell ref="C5:G5"/>
    <mergeCell ref="I5:J5"/>
    <mergeCell ref="I6:J6"/>
    <mergeCell ref="B7:C7"/>
    <mergeCell ref="B8:C8"/>
    <mergeCell ref="N5:O5"/>
    <mergeCell ref="BS8:BW8"/>
    <mergeCell ref="Q6:R6"/>
    <mergeCell ref="F7:G7"/>
    <mergeCell ref="C72:R75"/>
    <mergeCell ref="B9:C9"/>
    <mergeCell ref="P14:R14"/>
    <mergeCell ref="B13:C13"/>
    <mergeCell ref="B14:C14"/>
    <mergeCell ref="B12:C12"/>
    <mergeCell ref="B16:C16"/>
    <mergeCell ref="F14:G14"/>
    <mergeCell ref="F13:G13"/>
    <mergeCell ref="J14:K14"/>
    <mergeCell ref="K59:M59"/>
    <mergeCell ref="F59:H59"/>
    <mergeCell ref="M14:N14"/>
    <mergeCell ref="N4:O4"/>
    <mergeCell ref="F8:G8"/>
    <mergeCell ref="E4:G4"/>
    <mergeCell ref="K4:L4"/>
    <mergeCell ref="F9:G9"/>
    <mergeCell ref="K5:L5"/>
    <mergeCell ref="T26:U26"/>
    <mergeCell ref="T22:U22"/>
    <mergeCell ref="T30:U30"/>
    <mergeCell ref="T34:U34"/>
    <mergeCell ref="T38:U38"/>
  </mergeCells>
  <phoneticPr fontId="15" type="noConversion"/>
  <conditionalFormatting sqref="U3">
    <cfRule type="containsText" dxfId="2" priority="2" operator="containsText" text="&quot;See Spec&quot;">
      <formula>NOT(ISERROR(SEARCH("""See Spec""",U3)))</formula>
    </cfRule>
  </conditionalFormatting>
  <conditionalFormatting sqref="V19 V23 V27 V31 V35 V39 V43 V47 V51 V55">
    <cfRule type="expression" dxfId="1" priority="1">
      <formula>$DR$60="Core &lt; 87%"</formula>
    </cfRule>
  </conditionalFormatting>
  <conditionalFormatting sqref="P5 S6">
    <cfRule type="expression" dxfId="0" priority="6" stopIfTrue="1">
      <formula>$AD$74</formula>
    </cfRule>
  </conditionalFormatting>
  <dataValidations count="14">
    <dataValidation type="list" allowBlank="1" showInputMessage="1" showErrorMessage="1" sqref="M5">
      <formula1>$Z$76:$Z$77</formula1>
    </dataValidation>
    <dataValidation type="list" allowBlank="1" showInputMessage="1" showErrorMessage="1" sqref="E63:E70">
      <formula1>$Z$80:$Z$82</formula1>
    </dataValidation>
    <dataValidation allowBlank="1" showInputMessage="1" showErrorMessage="1" error="Pick proper core ID" sqref="B63"/>
    <dataValidation type="list" allowBlank="1" showInputMessage="1" showErrorMessage="1" sqref="M6">
      <formula1>$Z$86:$Z$87</formula1>
    </dataValidation>
    <dataValidation type="list" allowBlank="1" showInputMessage="1" showErrorMessage="1" sqref="B3">
      <formula1>$AA$5:$AA$7</formula1>
    </dataValidation>
    <dataValidation type="list" allowBlank="1" showInputMessage="1" showErrorMessage="1" sqref="B4">
      <formula1>$AC$5:$AC$7</formula1>
    </dataValidation>
    <dataValidation type="list" allowBlank="1" showInputMessage="1" showErrorMessage="1" sqref="D8">
      <formula1>$AA$24:$AA$27</formula1>
    </dataValidation>
    <dataValidation type="list" allowBlank="1" showInputMessage="1" showErrorMessage="1" sqref="D9">
      <formula1>$AA$33:$AA$36</formula1>
    </dataValidation>
    <dataValidation type="list" allowBlank="1" showInputMessage="1" showErrorMessage="1" sqref="D10">
      <formula1>$AA$40:$AA$43</formula1>
    </dataValidation>
    <dataValidation type="list" allowBlank="1" showInputMessage="1" showErrorMessage="1" sqref="D11">
      <formula1>$Z$46:$Z$47</formula1>
    </dataValidation>
    <dataValidation type="list" allowBlank="1" showInputMessage="1" showErrorMessage="1" sqref="V19 V23 V27 V31 V35 V39 V43 V47 V51 V55">
      <formula1>$DT$7:$DT$9</formula1>
    </dataValidation>
    <dataValidation type="list" allowBlank="1" showInputMessage="1" showErrorMessage="1" sqref="D14">
      <formula1>$Z$73:$Z$74</formula1>
    </dataValidation>
    <dataValidation type="list" allowBlank="1" showInputMessage="1" showErrorMessage="1" sqref="D13">
      <formula1>$Z$65:$Z$66</formula1>
    </dataValidation>
    <dataValidation type="list" allowBlank="1" showInputMessage="1" showErrorMessage="1" sqref="D12">
      <formula1>$Z$50:$Z$62</formula1>
    </dataValidation>
  </dataValidations>
  <printOptions horizontalCentered="1" verticalCentered="1"/>
  <pageMargins left="0.2" right="0.2" top="0.25" bottom="0.2" header="0" footer="0"/>
  <pageSetup scale="55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71"/>
  <sheetViews>
    <sheetView topLeftCell="A41" workbookViewId="0">
      <selection activeCell="B72" sqref="B72"/>
    </sheetView>
  </sheetViews>
  <sheetFormatPr defaultRowHeight="15" x14ac:dyDescent="0.25"/>
  <cols>
    <col min="2" max="2" width="10.7109375" bestFit="1" customWidth="1"/>
  </cols>
  <sheetData>
    <row r="2" spans="1:2" x14ac:dyDescent="0.25">
      <c r="A2" t="s">
        <v>368</v>
      </c>
    </row>
    <row r="3" spans="1:2" x14ac:dyDescent="0.25">
      <c r="A3" t="s">
        <v>369</v>
      </c>
      <c r="B3" s="243">
        <v>40683</v>
      </c>
    </row>
    <row r="4" spans="1:2" x14ac:dyDescent="0.25">
      <c r="A4" t="s">
        <v>370</v>
      </c>
      <c r="B4" t="s">
        <v>371</v>
      </c>
    </row>
    <row r="5" spans="1:2" x14ac:dyDescent="0.25">
      <c r="A5" t="s">
        <v>372</v>
      </c>
      <c r="B5" t="s">
        <v>373</v>
      </c>
    </row>
    <row r="7" spans="1:2" x14ac:dyDescent="0.25">
      <c r="A7" t="s">
        <v>369</v>
      </c>
      <c r="B7" s="243">
        <v>40704</v>
      </c>
    </row>
    <row r="8" spans="1:2" x14ac:dyDescent="0.25">
      <c r="A8" t="s">
        <v>370</v>
      </c>
      <c r="B8" t="s">
        <v>374</v>
      </c>
    </row>
    <row r="9" spans="1:2" x14ac:dyDescent="0.25">
      <c r="A9" t="s">
        <v>372</v>
      </c>
      <c r="B9" t="s">
        <v>375</v>
      </c>
    </row>
    <row r="11" spans="1:2" x14ac:dyDescent="0.25">
      <c r="A11" t="s">
        <v>369</v>
      </c>
      <c r="B11" s="243">
        <v>40708</v>
      </c>
    </row>
    <row r="12" spans="1:2" x14ac:dyDescent="0.25">
      <c r="A12" t="s">
        <v>376</v>
      </c>
      <c r="B12" t="s">
        <v>379</v>
      </c>
    </row>
    <row r="13" spans="1:2" x14ac:dyDescent="0.25">
      <c r="A13" t="s">
        <v>377</v>
      </c>
      <c r="B13" t="s">
        <v>378</v>
      </c>
    </row>
    <row r="15" spans="1:2" x14ac:dyDescent="0.25">
      <c r="A15" t="s">
        <v>369</v>
      </c>
      <c r="B15" s="243">
        <v>40753</v>
      </c>
    </row>
    <row r="16" spans="1:2" x14ac:dyDescent="0.25">
      <c r="A16" t="s">
        <v>376</v>
      </c>
      <c r="B16" t="s">
        <v>380</v>
      </c>
    </row>
    <row r="17" spans="1:2" x14ac:dyDescent="0.25">
      <c r="A17" t="s">
        <v>377</v>
      </c>
      <c r="B17" t="s">
        <v>381</v>
      </c>
    </row>
    <row r="19" spans="1:2" x14ac:dyDescent="0.25">
      <c r="A19" t="s">
        <v>376</v>
      </c>
      <c r="B19" t="s">
        <v>382</v>
      </c>
    </row>
    <row r="20" spans="1:2" x14ac:dyDescent="0.25">
      <c r="A20" t="s">
        <v>377</v>
      </c>
      <c r="B20" t="s">
        <v>383</v>
      </c>
    </row>
    <row r="22" spans="1:2" x14ac:dyDescent="0.25">
      <c r="A22" t="s">
        <v>369</v>
      </c>
      <c r="B22" s="243">
        <v>40760</v>
      </c>
    </row>
    <row r="23" spans="1:2" x14ac:dyDescent="0.25">
      <c r="A23" t="s">
        <v>376</v>
      </c>
      <c r="B23" t="s">
        <v>398</v>
      </c>
    </row>
    <row r="24" spans="1:2" x14ac:dyDescent="0.25">
      <c r="A24" t="s">
        <v>377</v>
      </c>
      <c r="B24" t="s">
        <v>399</v>
      </c>
    </row>
    <row r="26" spans="1:2" x14ac:dyDescent="0.25">
      <c r="A26" t="s">
        <v>369</v>
      </c>
      <c r="B26" s="243">
        <v>40772</v>
      </c>
    </row>
    <row r="27" spans="1:2" x14ac:dyDescent="0.25">
      <c r="A27" t="s">
        <v>376</v>
      </c>
      <c r="B27" t="s">
        <v>400</v>
      </c>
    </row>
    <row r="28" spans="1:2" x14ac:dyDescent="0.25">
      <c r="A28" t="s">
        <v>372</v>
      </c>
      <c r="B28" t="s">
        <v>401</v>
      </c>
    </row>
    <row r="30" spans="1:2" x14ac:dyDescent="0.25">
      <c r="A30" t="s">
        <v>369</v>
      </c>
      <c r="B30" s="243">
        <v>40821</v>
      </c>
    </row>
    <row r="31" spans="1:2" x14ac:dyDescent="0.25">
      <c r="A31" t="s">
        <v>370</v>
      </c>
      <c r="B31" t="s">
        <v>402</v>
      </c>
    </row>
    <row r="32" spans="1:2" x14ac:dyDescent="0.25">
      <c r="A32" t="s">
        <v>372</v>
      </c>
      <c r="B32" t="s">
        <v>403</v>
      </c>
    </row>
    <row r="33" spans="1:2" x14ac:dyDescent="0.25">
      <c r="A33" t="s">
        <v>370</v>
      </c>
      <c r="B33" t="s">
        <v>404</v>
      </c>
    </row>
    <row r="34" spans="1:2" x14ac:dyDescent="0.25">
      <c r="A34" t="s">
        <v>372</v>
      </c>
      <c r="B34" t="s">
        <v>405</v>
      </c>
    </row>
    <row r="36" spans="1:2" x14ac:dyDescent="0.25">
      <c r="A36" t="s">
        <v>369</v>
      </c>
      <c r="B36" s="243">
        <v>40844</v>
      </c>
    </row>
    <row r="37" spans="1:2" x14ac:dyDescent="0.25">
      <c r="A37" t="s">
        <v>370</v>
      </c>
      <c r="B37" t="s">
        <v>406</v>
      </c>
    </row>
    <row r="38" spans="1:2" x14ac:dyDescent="0.25">
      <c r="A38" t="s">
        <v>372</v>
      </c>
      <c r="B38" t="s">
        <v>407</v>
      </c>
    </row>
    <row r="40" spans="1:2" x14ac:dyDescent="0.25">
      <c r="A40" t="s">
        <v>369</v>
      </c>
      <c r="B40" s="243">
        <v>40988</v>
      </c>
    </row>
    <row r="41" spans="1:2" x14ac:dyDescent="0.25">
      <c r="A41" t="s">
        <v>370</v>
      </c>
      <c r="B41" t="s">
        <v>408</v>
      </c>
    </row>
    <row r="42" spans="1:2" x14ac:dyDescent="0.25">
      <c r="A42" t="s">
        <v>372</v>
      </c>
      <c r="B42" t="s">
        <v>409</v>
      </c>
    </row>
    <row r="45" spans="1:2" x14ac:dyDescent="0.25">
      <c r="A45" t="s">
        <v>369</v>
      </c>
      <c r="B45" s="243">
        <v>41134</v>
      </c>
    </row>
    <row r="46" spans="1:2" x14ac:dyDescent="0.25">
      <c r="A46" t="s">
        <v>410</v>
      </c>
    </row>
    <row r="48" spans="1:2" x14ac:dyDescent="0.25">
      <c r="A48" t="s">
        <v>369</v>
      </c>
      <c r="B48" s="243">
        <v>41381</v>
      </c>
    </row>
    <row r="49" spans="1:2" x14ac:dyDescent="0.25">
      <c r="B49" t="s">
        <v>438</v>
      </c>
    </row>
    <row r="50" spans="1:2" x14ac:dyDescent="0.25">
      <c r="B50" t="s">
        <v>439</v>
      </c>
    </row>
    <row r="51" spans="1:2" x14ac:dyDescent="0.25">
      <c r="B51" t="s">
        <v>440</v>
      </c>
    </row>
    <row r="52" spans="1:2" x14ac:dyDescent="0.25">
      <c r="B52" t="s">
        <v>443</v>
      </c>
    </row>
    <row r="54" spans="1:2" x14ac:dyDescent="0.25">
      <c r="A54" t="s">
        <v>369</v>
      </c>
      <c r="B54" s="243">
        <v>41476</v>
      </c>
    </row>
    <row r="55" spans="1:2" x14ac:dyDescent="0.25">
      <c r="B55" t="s">
        <v>445</v>
      </c>
    </row>
    <row r="56" spans="1:2" x14ac:dyDescent="0.25">
      <c r="B56" t="s">
        <v>448</v>
      </c>
    </row>
    <row r="58" spans="1:2" x14ac:dyDescent="0.25">
      <c r="A58" t="s">
        <v>369</v>
      </c>
      <c r="B58" s="243">
        <v>41740</v>
      </c>
    </row>
    <row r="59" spans="1:2" x14ac:dyDescent="0.25">
      <c r="B59" t="s">
        <v>449</v>
      </c>
    </row>
    <row r="61" spans="1:2" x14ac:dyDescent="0.25">
      <c r="A61" t="s">
        <v>369</v>
      </c>
      <c r="B61" s="243">
        <v>41754</v>
      </c>
    </row>
    <row r="62" spans="1:2" x14ac:dyDescent="0.25">
      <c r="B62" t="s">
        <v>450</v>
      </c>
    </row>
    <row r="64" spans="1:2" x14ac:dyDescent="0.25">
      <c r="A64" t="s">
        <v>369</v>
      </c>
      <c r="B64" s="243">
        <v>42083</v>
      </c>
    </row>
    <row r="65" spans="1:2" x14ac:dyDescent="0.25">
      <c r="B65" t="s">
        <v>452</v>
      </c>
    </row>
    <row r="67" spans="1:2" x14ac:dyDescent="0.25">
      <c r="A67" t="s">
        <v>369</v>
      </c>
      <c r="B67" s="243">
        <v>42097</v>
      </c>
    </row>
    <row r="68" spans="1:2" x14ac:dyDescent="0.25">
      <c r="B68" t="s">
        <v>460</v>
      </c>
    </row>
    <row r="70" spans="1:2" x14ac:dyDescent="0.25">
      <c r="A70" t="s">
        <v>463</v>
      </c>
      <c r="B70" s="243">
        <v>42164</v>
      </c>
    </row>
    <row r="71" spans="1:2" x14ac:dyDescent="0.25">
      <c r="B71" t="s">
        <v>464</v>
      </c>
    </row>
  </sheetData>
  <sheetProtection password="B9FE" sheet="1" objects="1" scenarios="1"/>
  <phoneticPr fontId="1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1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Inc_Disinc_Wksht</vt:lpstr>
      <vt:lpstr>Updates</vt:lpstr>
      <vt:lpstr>Sheet3</vt:lpstr>
      <vt:lpstr>Inc_Disinc_Wksht!Print_Area</vt:lpstr>
    </vt:vector>
  </TitlesOfParts>
  <Company>MNDOT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john2gre</dc:creator>
  <cp:lastModifiedBy>Gregory D Johnson</cp:lastModifiedBy>
  <cp:lastPrinted>2015-04-03T16:24:39Z</cp:lastPrinted>
  <dcterms:created xsi:type="dcterms:W3CDTF">2010-12-21T15:54:06Z</dcterms:created>
  <dcterms:modified xsi:type="dcterms:W3CDTF">2015-06-09T19:00:46Z</dcterms:modified>
</cp:coreProperties>
</file>